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VerticalScroll="0" xWindow="360" yWindow="120" windowWidth="9720" windowHeight="6948" activeTab="1"/>
  </bookViews>
  <sheets>
    <sheet name="Summary &amp; Solution" sheetId="4" r:id="rId1"/>
    <sheet name="Sec1" sheetId="2" r:id="rId2"/>
    <sheet name="Sec2" sheetId="5" r:id="rId3"/>
    <sheet name="EMBA" sheetId="1" r:id="rId4"/>
    <sheet name="EM3" sheetId="3" r:id="rId5"/>
  </sheets>
  <calcPr calcId="145621"/>
</workbook>
</file>

<file path=xl/calcChain.xml><?xml version="1.0" encoding="utf-8"?>
<calcChain xmlns="http://schemas.openxmlformats.org/spreadsheetml/2006/main">
  <c r="P12" i="4" l="1"/>
  <c r="O12" i="4"/>
  <c r="N12" i="4"/>
  <c r="M12" i="4"/>
  <c r="L12" i="4"/>
  <c r="K12" i="4"/>
  <c r="P11" i="4"/>
  <c r="O11" i="4"/>
  <c r="N11" i="4"/>
  <c r="M11" i="4"/>
  <c r="L11" i="4"/>
  <c r="K11" i="4"/>
  <c r="P10" i="4"/>
  <c r="O10" i="4"/>
  <c r="N10" i="4"/>
  <c r="M10" i="4"/>
  <c r="L10" i="4"/>
  <c r="K10" i="4"/>
  <c r="P9" i="4"/>
  <c r="O9" i="4"/>
  <c r="N9" i="4"/>
  <c r="M9" i="4"/>
  <c r="L9" i="4"/>
  <c r="K9" i="4"/>
  <c r="W33" i="4" l="1"/>
  <c r="W31" i="4"/>
  <c r="W30" i="4"/>
  <c r="W29" i="4"/>
  <c r="W28" i="4"/>
  <c r="W27" i="4"/>
  <c r="W26" i="4"/>
  <c r="W23" i="4"/>
  <c r="W22" i="4"/>
  <c r="W21" i="4"/>
  <c r="W20" i="4"/>
  <c r="W19" i="4"/>
  <c r="W18" i="4"/>
  <c r="W17" i="4"/>
  <c r="W16" i="4"/>
  <c r="W15" i="4"/>
  <c r="W14" i="4"/>
  <c r="W13" i="4"/>
  <c r="W8" i="4"/>
  <c r="P15" i="4"/>
  <c r="O15" i="4"/>
  <c r="N15" i="4"/>
  <c r="M15" i="4"/>
  <c r="L15" i="4"/>
  <c r="K15" i="4"/>
  <c r="P14" i="4"/>
  <c r="O14" i="4"/>
  <c r="N14" i="4"/>
  <c r="M14" i="4"/>
  <c r="L14" i="4"/>
  <c r="K14" i="4"/>
  <c r="P17" i="4"/>
  <c r="O17" i="4"/>
  <c r="N17" i="4"/>
  <c r="M17" i="4"/>
  <c r="L17" i="4"/>
  <c r="K17" i="4"/>
  <c r="P16" i="4"/>
  <c r="O16" i="4"/>
  <c r="N16" i="4"/>
  <c r="M16" i="4"/>
  <c r="L16" i="4"/>
  <c r="K16" i="4"/>
  <c r="C34" i="2"/>
  <c r="C34" i="5"/>
  <c r="P18" i="4"/>
  <c r="O18" i="4"/>
  <c r="N18" i="4"/>
  <c r="M18" i="4"/>
  <c r="L18" i="4"/>
  <c r="K18" i="4"/>
  <c r="P13" i="4"/>
  <c r="O13" i="4"/>
  <c r="N13" i="4"/>
  <c r="M13" i="4"/>
  <c r="L13" i="4"/>
  <c r="K13" i="4"/>
  <c r="P8" i="4"/>
  <c r="O8" i="4"/>
  <c r="N8" i="4"/>
  <c r="M8" i="4"/>
  <c r="L8" i="4"/>
  <c r="K8" i="4"/>
  <c r="E7" i="5"/>
  <c r="E6" i="5"/>
  <c r="E5" i="5"/>
  <c r="E4" i="5"/>
  <c r="E3" i="5"/>
  <c r="E7" i="2"/>
  <c r="E6" i="2"/>
  <c r="E5" i="2"/>
  <c r="E4" i="2"/>
  <c r="P19" i="4"/>
  <c r="O19" i="4"/>
  <c r="N19" i="4"/>
  <c r="M19" i="4"/>
  <c r="L19" i="4"/>
  <c r="K19" i="4"/>
  <c r="F103" i="4"/>
  <c r="G103" i="4" s="1"/>
  <c r="H103" i="4" s="1"/>
  <c r="F102" i="4"/>
  <c r="G102" i="4" s="1"/>
  <c r="H102" i="4" s="1"/>
  <c r="F101" i="4"/>
  <c r="G101" i="4" s="1"/>
  <c r="H101" i="4" s="1"/>
  <c r="D108" i="4"/>
  <c r="C103" i="4" s="1"/>
  <c r="D107" i="4"/>
  <c r="I103" i="4"/>
  <c r="I104" i="4"/>
  <c r="C101" i="4"/>
  <c r="E104" i="4"/>
  <c r="F104" i="4" s="1"/>
  <c r="C19" i="2"/>
  <c r="R5" i="4" s="1"/>
  <c r="F4" i="2"/>
  <c r="H4" i="2" s="1"/>
  <c r="F5" i="2"/>
  <c r="G5" i="2" s="1"/>
  <c r="F6" i="2"/>
  <c r="H6" i="2" s="1"/>
  <c r="F7" i="2"/>
  <c r="H7" i="2" s="1"/>
  <c r="F8" i="2"/>
  <c r="G8" i="2" s="1"/>
  <c r="F9" i="2"/>
  <c r="H9" i="2" s="1"/>
  <c r="F10" i="2"/>
  <c r="H10" i="2" s="1"/>
  <c r="F11" i="2"/>
  <c r="H11" i="2" s="1"/>
  <c r="F12" i="2"/>
  <c r="H12" i="2" s="1"/>
  <c r="F13" i="2"/>
  <c r="G13" i="2" s="1"/>
  <c r="F14" i="2"/>
  <c r="H14" i="2" s="1"/>
  <c r="F15" i="2"/>
  <c r="H15" i="2" s="1"/>
  <c r="F16" i="2"/>
  <c r="H16" i="2" s="1"/>
  <c r="F17" i="2"/>
  <c r="H17" i="2" s="1"/>
  <c r="F18" i="2"/>
  <c r="H18" i="2" s="1"/>
  <c r="C18" i="5"/>
  <c r="R6" i="4" s="1"/>
  <c r="F3" i="5"/>
  <c r="H3" i="5" s="1"/>
  <c r="F4" i="5"/>
  <c r="H4" i="5" s="1"/>
  <c r="F5" i="5"/>
  <c r="H5" i="5" s="1"/>
  <c r="F6" i="5"/>
  <c r="G6" i="5" s="1"/>
  <c r="F7" i="5"/>
  <c r="H7" i="5" s="1"/>
  <c r="F8" i="5"/>
  <c r="F9" i="5"/>
  <c r="H9" i="5" s="1"/>
  <c r="F10" i="5"/>
  <c r="H10" i="5" s="1"/>
  <c r="F11" i="5"/>
  <c r="H11" i="5" s="1"/>
  <c r="F12" i="5"/>
  <c r="H12" i="5" s="1"/>
  <c r="F13" i="5"/>
  <c r="F14" i="5"/>
  <c r="G14" i="5" s="1"/>
  <c r="F15" i="5"/>
  <c r="G15" i="5" s="1"/>
  <c r="F16" i="5"/>
  <c r="G16" i="5" s="1"/>
  <c r="F17" i="5"/>
  <c r="G17" i="5" s="1"/>
  <c r="F4" i="1"/>
  <c r="G4" i="1" s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4" i="1"/>
  <c r="G14" i="1" s="1"/>
  <c r="F15" i="1"/>
  <c r="G15" i="1" s="1"/>
  <c r="F16" i="1"/>
  <c r="G16" i="1" s="1"/>
  <c r="F17" i="1"/>
  <c r="G17" i="1" s="1"/>
  <c r="F18" i="1"/>
  <c r="G18" i="1" s="1"/>
  <c r="C19" i="1"/>
  <c r="R4" i="4" s="1"/>
  <c r="E4" i="4" s="1"/>
  <c r="D19" i="2"/>
  <c r="S5" i="4" s="1"/>
  <c r="D18" i="5"/>
  <c r="S6" i="4" s="1"/>
  <c r="K20" i="4"/>
  <c r="D39" i="4"/>
  <c r="D38" i="4"/>
  <c r="E9" i="5"/>
  <c r="E8" i="5"/>
  <c r="E9" i="2"/>
  <c r="E8" i="2"/>
  <c r="E9" i="1"/>
  <c r="E8" i="1"/>
  <c r="E7" i="1"/>
  <c r="E6" i="1"/>
  <c r="E5" i="1"/>
  <c r="E4" i="1"/>
  <c r="D19" i="1"/>
  <c r="S4" i="4" s="1"/>
  <c r="K29" i="4"/>
  <c r="K28" i="4"/>
  <c r="K27" i="4"/>
  <c r="K26" i="4"/>
  <c r="K25" i="4"/>
  <c r="K24" i="4"/>
  <c r="K23" i="4"/>
  <c r="K22" i="4"/>
  <c r="K21" i="4"/>
  <c r="L29" i="4"/>
  <c r="L28" i="4"/>
  <c r="L27" i="4"/>
  <c r="L26" i="4"/>
  <c r="L23" i="4"/>
  <c r="L22" i="4"/>
  <c r="L21" i="4"/>
  <c r="P21" i="4"/>
  <c r="O21" i="4"/>
  <c r="N21" i="4"/>
  <c r="M21" i="4"/>
  <c r="D7" i="4"/>
  <c r="D32" i="4" s="1"/>
  <c r="I57" i="4"/>
  <c r="Q6" i="5" s="1"/>
  <c r="D34" i="4"/>
  <c r="G24" i="4"/>
  <c r="W24" i="4" s="1"/>
  <c r="G25" i="4"/>
  <c r="W25" i="4" s="1"/>
  <c r="P22" i="4"/>
  <c r="O22" i="4"/>
  <c r="N22" i="4"/>
  <c r="M22" i="4"/>
  <c r="B4" i="5"/>
  <c r="B5" i="5" s="1"/>
  <c r="B6" i="5" s="1"/>
  <c r="B7" i="5" s="1"/>
  <c r="E10" i="5"/>
  <c r="E11" i="5"/>
  <c r="E12" i="5"/>
  <c r="E13" i="5"/>
  <c r="E14" i="5"/>
  <c r="E15" i="5"/>
  <c r="E16" i="5"/>
  <c r="E17" i="5"/>
  <c r="D20" i="5"/>
  <c r="C20" i="5"/>
  <c r="C58" i="1"/>
  <c r="E58" i="1" s="1"/>
  <c r="C57" i="1"/>
  <c r="E57" i="1" s="1"/>
  <c r="C56" i="1"/>
  <c r="E56" i="1" s="1"/>
  <c r="C55" i="1"/>
  <c r="E55" i="1" s="1"/>
  <c r="C54" i="1"/>
  <c r="E54" i="1" s="1"/>
  <c r="C53" i="1"/>
  <c r="E53" i="1" s="1"/>
  <c r="C52" i="1"/>
  <c r="E52" i="1" s="1"/>
  <c r="C51" i="1"/>
  <c r="E51" i="1" s="1"/>
  <c r="C50" i="1"/>
  <c r="C49" i="1"/>
  <c r="E49" i="1" s="1"/>
  <c r="C48" i="1"/>
  <c r="E48" i="1" s="1"/>
  <c r="C47" i="1"/>
  <c r="E47" i="1" s="1"/>
  <c r="C46" i="1"/>
  <c r="E46" i="1"/>
  <c r="C45" i="1"/>
  <c r="E45" i="1" s="1"/>
  <c r="C44" i="1"/>
  <c r="E44" i="1" s="1"/>
  <c r="D20" i="1"/>
  <c r="C20" i="1"/>
  <c r="B5" i="1"/>
  <c r="B45" i="1" s="1"/>
  <c r="B6" i="1"/>
  <c r="B46" i="1" s="1"/>
  <c r="B44" i="1"/>
  <c r="C43" i="1"/>
  <c r="B43" i="1"/>
  <c r="E10" i="1"/>
  <c r="E11" i="1"/>
  <c r="E12" i="1"/>
  <c r="E13" i="1"/>
  <c r="E14" i="1"/>
  <c r="E15" i="1"/>
  <c r="E16" i="1"/>
  <c r="E17" i="1"/>
  <c r="E18" i="1"/>
  <c r="D21" i="1"/>
  <c r="C21" i="1"/>
  <c r="N7" i="1"/>
  <c r="N5" i="1"/>
  <c r="N11" i="1"/>
  <c r="N12" i="1"/>
  <c r="N6" i="1"/>
  <c r="N8" i="1"/>
  <c r="N4" i="1"/>
  <c r="N10" i="1"/>
  <c r="N9" i="1"/>
  <c r="N13" i="1"/>
  <c r="N14" i="1"/>
  <c r="N15" i="1"/>
  <c r="N16" i="1"/>
  <c r="N17" i="1"/>
  <c r="N18" i="1"/>
  <c r="L18" i="1"/>
  <c r="K18" i="1"/>
  <c r="L17" i="1"/>
  <c r="K17" i="1"/>
  <c r="L16" i="1"/>
  <c r="K16" i="1"/>
  <c r="L15" i="1"/>
  <c r="K15" i="1"/>
  <c r="L14" i="1"/>
  <c r="K14" i="1"/>
  <c r="L13" i="1"/>
  <c r="K13" i="1"/>
  <c r="L10" i="1"/>
  <c r="K10" i="1"/>
  <c r="L9" i="1"/>
  <c r="K9" i="1"/>
  <c r="L8" i="1"/>
  <c r="K8" i="1"/>
  <c r="L7" i="1"/>
  <c r="K7" i="1"/>
  <c r="L6" i="1"/>
  <c r="K6" i="1"/>
  <c r="L11" i="1"/>
  <c r="K11" i="1"/>
  <c r="L4" i="1"/>
  <c r="L5" i="1"/>
  <c r="L12" i="1"/>
  <c r="K4" i="1"/>
  <c r="K5" i="1"/>
  <c r="K12" i="1"/>
  <c r="C44" i="5"/>
  <c r="E44" i="5" s="1"/>
  <c r="C45" i="5"/>
  <c r="E45" i="5" s="1"/>
  <c r="C46" i="5"/>
  <c r="E46" i="5" s="1"/>
  <c r="C47" i="5"/>
  <c r="E47" i="5" s="1"/>
  <c r="C50" i="5"/>
  <c r="C49" i="5"/>
  <c r="E49" i="5" s="1"/>
  <c r="C51" i="5"/>
  <c r="E51" i="5" s="1"/>
  <c r="C48" i="5"/>
  <c r="E48" i="5" s="1"/>
  <c r="C52" i="5"/>
  <c r="E52" i="5" s="1"/>
  <c r="C53" i="5"/>
  <c r="E53" i="5" s="1"/>
  <c r="C54" i="5"/>
  <c r="E54" i="5" s="1"/>
  <c r="C55" i="5"/>
  <c r="C56" i="5"/>
  <c r="E56" i="5" s="1"/>
  <c r="C57" i="5"/>
  <c r="E57" i="5" s="1"/>
  <c r="C58" i="5"/>
  <c r="E58" i="5" s="1"/>
  <c r="B45" i="5"/>
  <c r="B44" i="5"/>
  <c r="C43" i="5"/>
  <c r="B43" i="5"/>
  <c r="R17" i="5"/>
  <c r="Q17" i="5"/>
  <c r="R16" i="5"/>
  <c r="Q16" i="5"/>
  <c r="R15" i="5"/>
  <c r="Q15" i="5"/>
  <c r="R14" i="5"/>
  <c r="Q14" i="5"/>
  <c r="Q13" i="5"/>
  <c r="R12" i="5"/>
  <c r="R11" i="5"/>
  <c r="Q11" i="5"/>
  <c r="D19" i="5"/>
  <c r="C19" i="5"/>
  <c r="Q9" i="5"/>
  <c r="R8" i="5"/>
  <c r="R7" i="5"/>
  <c r="Q7" i="5"/>
  <c r="R6" i="5"/>
  <c r="Q5" i="5"/>
  <c r="R4" i="5"/>
  <c r="R3" i="5"/>
  <c r="R10" i="5"/>
  <c r="Q3" i="5"/>
  <c r="C48" i="2"/>
  <c r="E48" i="2" s="1"/>
  <c r="C49" i="2"/>
  <c r="E49" i="2" s="1"/>
  <c r="C47" i="2"/>
  <c r="E47" i="2" s="1"/>
  <c r="C45" i="2"/>
  <c r="E45" i="2" s="1"/>
  <c r="C44" i="2"/>
  <c r="E44" i="2" s="1"/>
  <c r="C46" i="2"/>
  <c r="E46" i="2" s="1"/>
  <c r="C50" i="2"/>
  <c r="E50" i="2" s="1"/>
  <c r="C51" i="2"/>
  <c r="E51" i="2" s="1"/>
  <c r="C52" i="2"/>
  <c r="E52" i="2" s="1"/>
  <c r="C53" i="2"/>
  <c r="E53" i="2" s="1"/>
  <c r="C54" i="2"/>
  <c r="E54" i="2" s="1"/>
  <c r="C55" i="2"/>
  <c r="C56" i="2"/>
  <c r="E56" i="2" s="1"/>
  <c r="C57" i="2"/>
  <c r="E57" i="2" s="1"/>
  <c r="C58" i="2"/>
  <c r="E58" i="2" s="1"/>
  <c r="B5" i="2"/>
  <c r="B6" i="2"/>
  <c r="B46" i="2" s="1"/>
  <c r="B7" i="2"/>
  <c r="B47" i="2" s="1"/>
  <c r="B45" i="2"/>
  <c r="B44" i="2"/>
  <c r="C43" i="2"/>
  <c r="B43" i="2"/>
  <c r="E10" i="2"/>
  <c r="E11" i="2"/>
  <c r="E12" i="2"/>
  <c r="E13" i="2"/>
  <c r="E14" i="2"/>
  <c r="E15" i="2"/>
  <c r="E16" i="2"/>
  <c r="E17" i="2"/>
  <c r="E18" i="2"/>
  <c r="D21" i="2"/>
  <c r="C21" i="2"/>
  <c r="K18" i="2"/>
  <c r="K17" i="2"/>
  <c r="K16" i="2"/>
  <c r="K15" i="2"/>
  <c r="K14" i="2"/>
  <c r="K13" i="2"/>
  <c r="K12" i="2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L18" i="2"/>
  <c r="L17" i="2"/>
  <c r="L16" i="2"/>
  <c r="D20" i="2"/>
  <c r="C20" i="2"/>
  <c r="L15" i="2"/>
  <c r="L14" i="2"/>
  <c r="L13" i="2"/>
  <c r="L12" i="2"/>
  <c r="K6" i="2"/>
  <c r="K11" i="2"/>
  <c r="L6" i="2"/>
  <c r="K8" i="2"/>
  <c r="K7" i="2"/>
  <c r="K5" i="2"/>
  <c r="K4" i="2"/>
  <c r="K10" i="2"/>
  <c r="L9" i="2"/>
  <c r="L5" i="2"/>
  <c r="L4" i="2"/>
  <c r="L10" i="2"/>
  <c r="E7" i="3"/>
  <c r="F7" i="3"/>
  <c r="E6" i="3"/>
  <c r="F6" i="3" s="1"/>
  <c r="E4" i="3"/>
  <c r="F4" i="3"/>
  <c r="E5" i="3"/>
  <c r="F5" i="3" s="1"/>
  <c r="F8" i="3" s="1"/>
  <c r="E8" i="3" s="1"/>
  <c r="C9" i="3"/>
  <c r="B9" i="3"/>
  <c r="D4" i="3"/>
  <c r="D8" i="3" s="1"/>
  <c r="D9" i="3"/>
  <c r="D5" i="3"/>
  <c r="D6" i="3"/>
  <c r="D7" i="3"/>
  <c r="C8" i="3"/>
  <c r="B8" i="3"/>
  <c r="C10" i="3"/>
  <c r="B10" i="3"/>
  <c r="K4" i="3"/>
  <c r="K7" i="3"/>
  <c r="J5" i="3"/>
  <c r="J6" i="3"/>
  <c r="J4" i="3"/>
  <c r="J7" i="3"/>
  <c r="C78" i="4"/>
  <c r="D78" i="4"/>
  <c r="C79" i="4" s="1"/>
  <c r="E78" i="4"/>
  <c r="C80" i="4" s="1"/>
  <c r="F78" i="4"/>
  <c r="G78" i="4"/>
  <c r="H78" i="4"/>
  <c r="I78" i="4"/>
  <c r="I77" i="4"/>
  <c r="H77" i="4"/>
  <c r="G77" i="4"/>
  <c r="F77" i="4"/>
  <c r="E77" i="4"/>
  <c r="D77" i="4"/>
  <c r="C77" i="4"/>
  <c r="P23" i="4"/>
  <c r="O23" i="4"/>
  <c r="N23" i="4"/>
  <c r="M23" i="4"/>
  <c r="H24" i="4"/>
  <c r="P24" i="4" s="1"/>
  <c r="L24" i="4"/>
  <c r="F24" i="4"/>
  <c r="E24" i="4"/>
  <c r="O24" i="4"/>
  <c r="N24" i="4"/>
  <c r="M24" i="4"/>
  <c r="H25" i="4"/>
  <c r="P25" i="4"/>
  <c r="O25" i="4"/>
  <c r="F25" i="4"/>
  <c r="N25" i="4"/>
  <c r="E25" i="4"/>
  <c r="M25" i="4"/>
  <c r="L30" i="4"/>
  <c r="L31" i="4"/>
  <c r="M26" i="4"/>
  <c r="M27" i="4"/>
  <c r="M28" i="4"/>
  <c r="M29" i="4"/>
  <c r="M30" i="4"/>
  <c r="M31" i="4"/>
  <c r="P26" i="4"/>
  <c r="P27" i="4"/>
  <c r="P28" i="4"/>
  <c r="P29" i="4"/>
  <c r="P30" i="4"/>
  <c r="P31" i="4"/>
  <c r="O26" i="4"/>
  <c r="O27" i="4"/>
  <c r="O28" i="4"/>
  <c r="O29" i="4"/>
  <c r="O30" i="4"/>
  <c r="O31" i="4"/>
  <c r="N26" i="4"/>
  <c r="N27" i="4"/>
  <c r="N28" i="4"/>
  <c r="N29" i="4"/>
  <c r="N30" i="4"/>
  <c r="N31" i="4"/>
  <c r="E57" i="4"/>
  <c r="F57" i="4" s="1"/>
  <c r="F54" i="4"/>
  <c r="F56" i="4"/>
  <c r="F55" i="4"/>
  <c r="G55" i="4" s="1"/>
  <c r="H55" i="4" s="1"/>
  <c r="G54" i="4"/>
  <c r="H54" i="4" s="1"/>
  <c r="G56" i="4"/>
  <c r="H56" i="4" s="1"/>
  <c r="L25" i="4"/>
  <c r="E50" i="5"/>
  <c r="G5" i="5"/>
  <c r="N20" i="4"/>
  <c r="M20" i="4"/>
  <c r="O20" i="4"/>
  <c r="L20" i="4"/>
  <c r="P20" i="4"/>
  <c r="G12" i="5" l="1"/>
  <c r="H8" i="5"/>
  <c r="H5" i="2"/>
  <c r="G4" i="2"/>
  <c r="H14" i="5"/>
  <c r="C81" i="4"/>
  <c r="C82" i="4"/>
  <c r="F99" i="4"/>
  <c r="G104" i="4"/>
  <c r="H57" i="4"/>
  <c r="F52" i="4"/>
  <c r="G57" i="4"/>
  <c r="H104" i="4"/>
  <c r="Q4" i="5"/>
  <c r="Q8" i="5"/>
  <c r="Q12" i="5"/>
  <c r="B8" i="2"/>
  <c r="K6" i="3"/>
  <c r="C12" i="3" s="1"/>
  <c r="L7" i="2"/>
  <c r="K9" i="2"/>
  <c r="C22" i="2" s="1"/>
  <c r="R5" i="5"/>
  <c r="R9" i="5"/>
  <c r="R13" i="5"/>
  <c r="K5" i="3"/>
  <c r="L8" i="2"/>
  <c r="L11" i="2"/>
  <c r="Q10" i="5"/>
  <c r="H13" i="5"/>
  <c r="N19" i="1"/>
  <c r="E21" i="1"/>
  <c r="C64" i="1"/>
  <c r="F53" i="1" s="1"/>
  <c r="E19" i="1"/>
  <c r="M4" i="4"/>
  <c r="E50" i="1"/>
  <c r="E20" i="1"/>
  <c r="B7" i="1"/>
  <c r="C23" i="1"/>
  <c r="C22" i="1"/>
  <c r="D23" i="1"/>
  <c r="G8" i="5"/>
  <c r="G13" i="5"/>
  <c r="C64" i="5"/>
  <c r="F47" i="5" s="1"/>
  <c r="E19" i="5"/>
  <c r="G3" i="5"/>
  <c r="G4" i="5"/>
  <c r="H17" i="5"/>
  <c r="E55" i="5"/>
  <c r="G9" i="5"/>
  <c r="B46" i="5"/>
  <c r="H6" i="5"/>
  <c r="G7" i="5"/>
  <c r="H16" i="5"/>
  <c r="G11" i="5"/>
  <c r="G10" i="5"/>
  <c r="E21" i="2"/>
  <c r="G15" i="2"/>
  <c r="G11" i="2"/>
  <c r="G7" i="2"/>
  <c r="H13" i="2"/>
  <c r="H8" i="2"/>
  <c r="G12" i="2"/>
  <c r="N19" i="2"/>
  <c r="E19" i="2"/>
  <c r="C64" i="2"/>
  <c r="F58" i="2" s="1"/>
  <c r="G16" i="2"/>
  <c r="G6" i="2"/>
  <c r="G14" i="2"/>
  <c r="E55" i="2"/>
  <c r="E20" i="2"/>
  <c r="G17" i="2"/>
  <c r="G10" i="2"/>
  <c r="G18" i="2"/>
  <c r="G9" i="2"/>
  <c r="L7" i="4"/>
  <c r="L32" i="4" s="1"/>
  <c r="H33" i="4" s="1"/>
  <c r="G19" i="1"/>
  <c r="F19" i="1" s="1"/>
  <c r="F4" i="4"/>
  <c r="N4" i="4" s="1"/>
  <c r="D22" i="1"/>
  <c r="B11" i="3"/>
  <c r="E18" i="5"/>
  <c r="B48" i="5"/>
  <c r="B8" i="5"/>
  <c r="H15" i="5"/>
  <c r="E20" i="5"/>
  <c r="B47" i="5"/>
  <c r="F6" i="4"/>
  <c r="N6" i="4" s="1"/>
  <c r="E6" i="4"/>
  <c r="K6" i="4" s="1"/>
  <c r="E5" i="4"/>
  <c r="K5" i="4" s="1"/>
  <c r="F5" i="4"/>
  <c r="N5" i="4" s="1"/>
  <c r="C7" i="4"/>
  <c r="K7" i="4" s="1"/>
  <c r="K32" i="4" s="1"/>
  <c r="B12" i="3"/>
  <c r="C21" i="5" l="1"/>
  <c r="F50" i="1"/>
  <c r="D21" i="5"/>
  <c r="D23" i="2"/>
  <c r="D22" i="2"/>
  <c r="C11" i="3"/>
  <c r="F58" i="1"/>
  <c r="B9" i="2"/>
  <c r="B48" i="2"/>
  <c r="C23" i="2"/>
  <c r="C22" i="5"/>
  <c r="D22" i="5"/>
  <c r="F45" i="1"/>
  <c r="F57" i="1"/>
  <c r="F54" i="1"/>
  <c r="F49" i="1"/>
  <c r="F46" i="1"/>
  <c r="F55" i="1"/>
  <c r="F51" i="1"/>
  <c r="F47" i="1"/>
  <c r="F52" i="1"/>
  <c r="F56" i="1"/>
  <c r="F44" i="1"/>
  <c r="F48" i="1"/>
  <c r="B47" i="1"/>
  <c r="B8" i="1"/>
  <c r="F57" i="5"/>
  <c r="F53" i="5"/>
  <c r="F54" i="5"/>
  <c r="F49" i="5"/>
  <c r="F51" i="5"/>
  <c r="F55" i="5"/>
  <c r="F48" i="5"/>
  <c r="F56" i="5"/>
  <c r="F50" i="5"/>
  <c r="F58" i="5"/>
  <c r="F46" i="5"/>
  <c r="F44" i="5"/>
  <c r="G18" i="5"/>
  <c r="U6" i="4" s="1"/>
  <c r="H6" i="4" s="1"/>
  <c r="L6" i="4" s="1"/>
  <c r="F52" i="5"/>
  <c r="F45" i="5"/>
  <c r="H18" i="5"/>
  <c r="F47" i="2"/>
  <c r="F57" i="2"/>
  <c r="F53" i="2"/>
  <c r="F51" i="2"/>
  <c r="F49" i="2"/>
  <c r="F52" i="2"/>
  <c r="G19" i="2"/>
  <c r="U5" i="4" s="1"/>
  <c r="T5" i="4" s="1"/>
  <c r="G5" i="4" s="1"/>
  <c r="W5" i="4" s="1"/>
  <c r="F54" i="2"/>
  <c r="H19" i="2"/>
  <c r="F48" i="2"/>
  <c r="F44" i="2"/>
  <c r="F50" i="2"/>
  <c r="F55" i="2"/>
  <c r="F56" i="2"/>
  <c r="F45" i="2"/>
  <c r="F46" i="2"/>
  <c r="M6" i="4"/>
  <c r="M5" i="4"/>
  <c r="U4" i="4"/>
  <c r="B9" i="5"/>
  <c r="B49" i="5"/>
  <c r="C32" i="4"/>
  <c r="N7" i="4"/>
  <c r="T4" i="4" l="1"/>
  <c r="G4" i="4" s="1"/>
  <c r="H4" i="4"/>
  <c r="B10" i="2"/>
  <c r="B49" i="2"/>
  <c r="F18" i="5"/>
  <c r="T6" i="4"/>
  <c r="G6" i="4" s="1"/>
  <c r="W6" i="4" s="1"/>
  <c r="B48" i="1"/>
  <c r="B9" i="1"/>
  <c r="F19" i="2"/>
  <c r="H5" i="4"/>
  <c r="P5" i="4" s="1"/>
  <c r="M7" i="4"/>
  <c r="M32" i="4" s="1"/>
  <c r="E32" i="4" s="1"/>
  <c r="P6" i="4"/>
  <c r="B50" i="5"/>
  <c r="B10" i="5"/>
  <c r="F7" i="4"/>
  <c r="N32" i="4"/>
  <c r="F32" i="4" s="1"/>
  <c r="O5" i="4"/>
  <c r="L4" i="4" l="1"/>
  <c r="P4" i="4"/>
  <c r="P7" i="4" s="1"/>
  <c r="P32" i="4" s="1"/>
  <c r="H32" i="4" s="1"/>
  <c r="W4" i="4"/>
  <c r="O4" i="4"/>
  <c r="O6" i="4"/>
  <c r="B11" i="2"/>
  <c r="B50" i="2"/>
  <c r="B10" i="1"/>
  <c r="B49" i="1"/>
  <c r="L5" i="4"/>
  <c r="E7" i="4"/>
  <c r="B11" i="5"/>
  <c r="B51" i="5"/>
  <c r="O7" i="4" l="1"/>
  <c r="G7" i="4" s="1"/>
  <c r="W7" i="4" s="1"/>
  <c r="B51" i="2"/>
  <c r="B12" i="2"/>
  <c r="B11" i="1"/>
  <c r="B50" i="1"/>
  <c r="O32" i="4"/>
  <c r="G32" i="4" s="1"/>
  <c r="W32" i="4" s="1"/>
  <c r="G40" i="4" s="1"/>
  <c r="H7" i="4"/>
  <c r="B12" i="5"/>
  <c r="B52" i="5"/>
  <c r="G39" i="4"/>
  <c r="B13" i="2" l="1"/>
  <c r="B52" i="2"/>
  <c r="B51" i="1"/>
  <c r="B12" i="1"/>
  <c r="B13" i="5"/>
  <c r="B53" i="5"/>
  <c r="B53" i="2" l="1"/>
  <c r="B14" i="2"/>
  <c r="B52" i="1"/>
  <c r="B13" i="1"/>
  <c r="B14" i="5"/>
  <c r="B54" i="5"/>
  <c r="B15" i="2" l="1"/>
  <c r="B54" i="2"/>
  <c r="B14" i="1"/>
  <c r="B53" i="1"/>
  <c r="B15" i="5"/>
  <c r="B55" i="5"/>
  <c r="B55" i="2" l="1"/>
  <c r="B16" i="2"/>
  <c r="B54" i="1"/>
  <c r="B15" i="1"/>
  <c r="B16" i="5"/>
  <c r="B56" i="5"/>
  <c r="B17" i="2" l="1"/>
  <c r="B56" i="2"/>
  <c r="B55" i="1"/>
  <c r="B16" i="1"/>
  <c r="B17" i="5"/>
  <c r="B58" i="5" s="1"/>
  <c r="B57" i="5"/>
  <c r="B57" i="2" l="1"/>
  <c r="B18" i="2"/>
  <c r="B58" i="2" s="1"/>
  <c r="B56" i="1"/>
  <c r="B17" i="1"/>
  <c r="B18" i="1" l="1"/>
  <c r="B58" i="1" s="1"/>
  <c r="B57" i="1"/>
</calcChain>
</file>

<file path=xl/sharedStrings.xml><?xml version="1.0" encoding="utf-8"?>
<sst xmlns="http://schemas.openxmlformats.org/spreadsheetml/2006/main" count="171" uniqueCount="107">
  <si>
    <t>ML</t>
  </si>
  <si>
    <t>Inches</t>
  </si>
  <si>
    <t>Quarters</t>
  </si>
  <si>
    <t>Nickels</t>
  </si>
  <si>
    <t>Pennies</t>
  </si>
  <si>
    <t>Air</t>
  </si>
  <si>
    <t>Value</t>
  </si>
  <si>
    <t>$</t>
  </si>
  <si>
    <t>Jar/Total</t>
  </si>
  <si>
    <t>Estimation Tool</t>
  </si>
  <si>
    <t>Estimated</t>
  </si>
  <si>
    <t>Actual</t>
  </si>
  <si>
    <t>Estimate</t>
  </si>
  <si>
    <t>Bid</t>
  </si>
  <si>
    <t>Team</t>
  </si>
  <si>
    <t>Mean</t>
  </si>
  <si>
    <t>SD</t>
  </si>
  <si>
    <t>True Value</t>
  </si>
  <si>
    <t>#Below</t>
  </si>
  <si>
    <t>#Above</t>
  </si>
  <si>
    <t>Adj</t>
  </si>
  <si>
    <t>A</t>
  </si>
  <si>
    <t>B</t>
  </si>
  <si>
    <t>C</t>
  </si>
  <si>
    <t>Winner?</t>
  </si>
  <si>
    <t>Class</t>
  </si>
  <si>
    <t>Value of Gourmet Adventures</t>
  </si>
  <si>
    <t>Weighted Avg.</t>
  </si>
  <si>
    <t>D</t>
  </si>
  <si>
    <r>
      <t>EM</t>
    </r>
    <r>
      <rPr>
        <b/>
        <vertAlign val="superscript"/>
        <sz val="28"/>
        <rFont val="Arial Narrow"/>
        <family val="2"/>
      </rPr>
      <t>3</t>
    </r>
    <r>
      <rPr>
        <b/>
        <sz val="28"/>
        <rFont val="Arial Narrow"/>
        <family val="2"/>
      </rPr>
      <t xml:space="preserve"> Gourmet Adventures Results</t>
    </r>
  </si>
  <si>
    <t>Cursed:</t>
  </si>
  <si>
    <t>#</t>
  </si>
  <si>
    <r>
      <t>EM</t>
    </r>
    <r>
      <rPr>
        <vertAlign val="superscript"/>
        <sz val="11"/>
        <rFont val="Arial Narrow"/>
        <family val="2"/>
      </rPr>
      <t>3</t>
    </r>
    <r>
      <rPr>
        <sz val="11"/>
        <rFont val="Arial Narrow"/>
        <family val="2"/>
      </rPr>
      <t xml:space="preserve"> Gourmet Adventures Results (S99)</t>
    </r>
  </si>
  <si>
    <t>Execs (98,99)</t>
  </si>
  <si>
    <t>MBAs (98)</t>
  </si>
  <si>
    <t>Classes</t>
  </si>
  <si>
    <t>Coff Corp Profit</t>
  </si>
  <si>
    <t>#Grps</t>
  </si>
  <si>
    <t>Avg</t>
  </si>
  <si>
    <t>Winner</t>
  </si>
  <si>
    <t>Grps</t>
  </si>
  <si>
    <t>Est.</t>
  </si>
  <si>
    <t>Median</t>
  </si>
  <si>
    <t>MBA Strat (F01)</t>
  </si>
  <si>
    <t>MBA Strat (F00)</t>
  </si>
  <si>
    <t>Change?</t>
  </si>
  <si>
    <t>Gain/</t>
  </si>
  <si>
    <t>(Loss)</t>
  </si>
  <si>
    <t>Final</t>
  </si>
  <si>
    <t>MBA ICA (S03)</t>
  </si>
  <si>
    <t>MBA ICA (S04)</t>
  </si>
  <si>
    <t>BBA Strat (F99)</t>
  </si>
  <si>
    <t>Est 1</t>
  </si>
  <si>
    <t>Est 2</t>
  </si>
  <si>
    <t>Est 3</t>
  </si>
  <si>
    <t>Est 4</t>
  </si>
  <si>
    <t>Est 5</t>
  </si>
  <si>
    <t>Est 6</t>
  </si>
  <si>
    <t>Est 7</t>
  </si>
  <si>
    <t>Average</t>
  </si>
  <si>
    <t>95% Conf H</t>
  </si>
  <si>
    <t>95% Conf L</t>
  </si>
  <si>
    <t>Estimated Value:</t>
  </si>
  <si>
    <r>
      <t>Std Deviation (</t>
    </r>
    <r>
      <rPr>
        <b/>
        <i/>
        <sz val="18"/>
        <color indexed="9"/>
        <rFont val="Arial Narrow"/>
        <family val="2"/>
      </rPr>
      <t>s</t>
    </r>
    <r>
      <rPr>
        <b/>
        <sz val="18"/>
        <color indexed="9"/>
        <rFont val="Arial Narrow"/>
        <family val="2"/>
      </rPr>
      <t>)</t>
    </r>
  </si>
  <si>
    <t>Constructing a Confidence Interval</t>
  </si>
  <si>
    <t>ICA (S05)</t>
  </si>
  <si>
    <r>
      <t xml:space="preserve">Gourmet Adventures </t>
    </r>
    <r>
      <rPr>
        <b/>
        <sz val="28"/>
        <rFont val="Arial Narrow"/>
        <family val="2"/>
      </rPr>
      <t>Results</t>
    </r>
  </si>
  <si>
    <t>ICA (F05)</t>
  </si>
  <si>
    <r>
      <t>=SampleMean+2.447*</t>
    </r>
    <r>
      <rPr>
        <b/>
        <i/>
        <sz val="11"/>
        <rFont val="Arial Narrow"/>
        <family val="2"/>
      </rPr>
      <t>s</t>
    </r>
    <r>
      <rPr>
        <sz val="11"/>
        <rFont val="Arial Narrow"/>
        <family val="2"/>
      </rPr>
      <t>/SQRT(</t>
    </r>
    <r>
      <rPr>
        <b/>
        <sz val="11"/>
        <rFont val="Arial Narrow"/>
        <family val="2"/>
      </rPr>
      <t>n</t>
    </r>
    <r>
      <rPr>
        <sz val="11"/>
        <rFont val="Arial Narrow"/>
        <family val="2"/>
      </rPr>
      <t>)</t>
    </r>
  </si>
  <si>
    <r>
      <t>=SampleMean-2.447*</t>
    </r>
    <r>
      <rPr>
        <b/>
        <i/>
        <sz val="11"/>
        <rFont val="Arial Narrow"/>
        <family val="2"/>
      </rPr>
      <t>s</t>
    </r>
    <r>
      <rPr>
        <sz val="11"/>
        <rFont val="Arial Narrow"/>
        <family val="2"/>
      </rPr>
      <t>/</t>
    </r>
    <r>
      <rPr>
        <sz val="11"/>
        <rFont val="Arial Narrow"/>
        <family val="2"/>
      </rPr>
      <t>SQRT(</t>
    </r>
    <r>
      <rPr>
        <b/>
        <sz val="11"/>
        <rFont val="Arial Narrow"/>
        <family val="2"/>
      </rPr>
      <t>n</t>
    </r>
    <r>
      <rPr>
        <sz val="11"/>
        <rFont val="Arial Narrow"/>
        <family val="2"/>
      </rPr>
      <t>)</t>
    </r>
  </si>
  <si>
    <r>
      <t>t</t>
    </r>
    <r>
      <rPr>
        <b/>
        <vertAlign val="subscript"/>
        <sz val="18"/>
        <rFont val="Arial Narrow"/>
        <family val="2"/>
      </rPr>
      <t>(.025,6)</t>
    </r>
    <r>
      <rPr>
        <b/>
        <sz val="18"/>
        <rFont val="Arial Narrow"/>
        <family val="2"/>
      </rPr>
      <t>=</t>
    </r>
  </si>
  <si>
    <t>Total Deals 1996-2006 (51-100%)</t>
  </si>
  <si>
    <t># Hostile or unsolicited</t>
  </si>
  <si>
    <t># Friendly or neutral</t>
  </si>
  <si>
    <t>ICA (F06)</t>
  </si>
  <si>
    <t>€</t>
  </si>
  <si>
    <t>CM</t>
  </si>
  <si>
    <t>%CM</t>
  </si>
  <si>
    <t>Quarters (U.S)</t>
  </si>
  <si>
    <t>2 Euro Cent</t>
  </si>
  <si>
    <t>Exchange rate</t>
  </si>
  <si>
    <t>Quarters:</t>
  </si>
  <si>
    <t>Date</t>
  </si>
  <si>
    <t>XChngRate</t>
  </si>
  <si>
    <t>Error</t>
  </si>
  <si>
    <r>
      <t>Gourmet Adventures</t>
    </r>
    <r>
      <rPr>
        <b/>
        <sz val="28"/>
        <rFont val="Arial Narrow"/>
        <family val="2"/>
      </rPr>
      <t xml:space="preserve"> - </t>
    </r>
    <r>
      <rPr>
        <b/>
        <i/>
        <sz val="28"/>
        <rFont val="Arial Narrow"/>
        <family val="2"/>
      </rPr>
      <t>Paris Edition</t>
    </r>
  </si>
  <si>
    <t>ICA (S08)</t>
  </si>
  <si>
    <t>If Unbiased</t>
  </si>
  <si>
    <r>
      <t>Gourmet Adventures</t>
    </r>
    <r>
      <rPr>
        <b/>
        <sz val="28"/>
        <rFont val="Arial Narrow"/>
        <family val="2"/>
      </rPr>
      <t xml:space="preserve"> Simple Solution</t>
    </r>
  </si>
  <si>
    <t>Wharton (F08)</t>
  </si>
  <si>
    <t xml:space="preserve">   Summary</t>
  </si>
  <si>
    <t>#Groups</t>
  </si>
  <si>
    <t>M&amp;A 472 (S09)</t>
  </si>
  <si>
    <t>M&amp;A 672P (S09)</t>
  </si>
  <si>
    <t>M&amp;A 672P (F09)</t>
  </si>
  <si>
    <t>M&amp;A 472 (F09)</t>
  </si>
  <si>
    <t>EMBA (F10)</t>
  </si>
  <si>
    <t>723-1Gourmet Adventures Results</t>
  </si>
  <si>
    <t>723-2 Gourmet Adventures Results</t>
  </si>
  <si>
    <t>723-1&amp;2 (F10)</t>
  </si>
  <si>
    <t>EMBA (F11)</t>
  </si>
  <si>
    <t>723-1&amp;2 (F11)</t>
  </si>
  <si>
    <t>723-2 (F12)</t>
  </si>
  <si>
    <t>723-1 (F12)</t>
  </si>
  <si>
    <t>EMBA (F12)</t>
  </si>
  <si>
    <t>EMBA Business Strategy Results</t>
  </si>
  <si>
    <t>% of jar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</si>
</sst>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7" formatCode="&quot;$&quot;#,##0.00_);\(&quot;$&quot;#,##0.00\)"/>
    <numFmt numFmtId="8" formatCode="&quot;$&quot;#,##0.00_);[Red]\(&quot;$&quot;#,##0.00\)"/>
    <numFmt numFmtId="164" formatCode="&quot;$&quot;#,##0.00"/>
    <numFmt numFmtId="165" formatCode="0.000"/>
    <numFmt numFmtId="166" formatCode="[$€-2]\ #,##0.00"/>
    <numFmt numFmtId="167" formatCode="m/d/yy;@"/>
    <numFmt numFmtId="168" formatCode="[$€-2]\ #,##0.00;[Red][$€-2]\ #,##0.00"/>
  </numFmts>
  <fonts count="28" x14ac:knownFonts="1">
    <font>
      <sz val="11"/>
      <name val="Arial Narrow"/>
    </font>
    <font>
      <sz val="18"/>
      <color indexed="9"/>
      <name val="Arial Narrow"/>
      <family val="2"/>
    </font>
    <font>
      <b/>
      <sz val="18"/>
      <color indexed="9"/>
      <name val="Arial Narrow"/>
      <family val="2"/>
    </font>
    <font>
      <sz val="18"/>
      <name val="Arial Narrow"/>
      <family val="2"/>
    </font>
    <font>
      <b/>
      <sz val="28"/>
      <name val="Arial Narrow"/>
      <family val="2"/>
    </font>
    <font>
      <b/>
      <sz val="11"/>
      <name val="Arial Narrow"/>
      <family val="2"/>
    </font>
    <font>
      <sz val="28"/>
      <name val="Arial Narrow"/>
      <family val="2"/>
    </font>
    <font>
      <b/>
      <vertAlign val="superscript"/>
      <sz val="28"/>
      <name val="Arial Narrow"/>
      <family val="2"/>
    </font>
    <font>
      <b/>
      <sz val="18"/>
      <name val="Arial Narrow"/>
      <family val="2"/>
    </font>
    <font>
      <sz val="11"/>
      <name val="Arial Narrow"/>
      <family val="2"/>
    </font>
    <font>
      <vertAlign val="superscript"/>
      <sz val="11"/>
      <name val="Arial Narrow"/>
      <family val="2"/>
    </font>
    <font>
      <b/>
      <i/>
      <sz val="18"/>
      <color indexed="9"/>
      <name val="Arial Narrow"/>
      <family val="2"/>
    </font>
    <font>
      <b/>
      <sz val="18"/>
      <color indexed="10"/>
      <name val="Arial Narrow"/>
      <family val="2"/>
    </font>
    <font>
      <b/>
      <sz val="18"/>
      <color indexed="11"/>
      <name val="Arial Narrow"/>
      <family val="2"/>
    </font>
    <font>
      <b/>
      <i/>
      <sz val="11"/>
      <name val="Arial Narrow"/>
      <family val="2"/>
    </font>
    <font>
      <b/>
      <sz val="32"/>
      <name val="Monotype Corsiva"/>
      <family val="4"/>
    </font>
    <font>
      <b/>
      <vertAlign val="subscript"/>
      <sz val="18"/>
      <name val="Arial Narrow"/>
      <family val="2"/>
    </font>
    <font>
      <sz val="16"/>
      <name val="Arial Narrow"/>
      <family val="2"/>
    </font>
    <font>
      <b/>
      <sz val="18"/>
      <color indexed="9"/>
      <name val="Calibri"/>
      <family val="2"/>
    </font>
    <font>
      <b/>
      <i/>
      <sz val="28"/>
      <name val="Arial Narrow"/>
      <family val="2"/>
    </font>
    <font>
      <sz val="11"/>
      <color theme="8" tint="0.59996337778862885"/>
      <name val="Arial Narrow"/>
      <family val="2"/>
    </font>
    <font>
      <sz val="12"/>
      <color theme="8" tint="0.59996337778862885"/>
      <name val="Arial Narrow"/>
      <family val="2"/>
    </font>
    <font>
      <sz val="18"/>
      <color theme="8" tint="0.59996337778862885"/>
      <name val="Arial Narrow"/>
      <family val="2"/>
    </font>
    <font>
      <sz val="11"/>
      <color theme="2" tint="-9.9978637043366805E-2"/>
      <name val="Arial Narrow"/>
      <family val="2"/>
    </font>
    <font>
      <sz val="12"/>
      <color theme="2" tint="-9.9978637043366805E-2"/>
      <name val="Arial Narrow"/>
      <family val="2"/>
    </font>
    <font>
      <sz val="11"/>
      <color theme="3" tint="-0.499984740745262"/>
      <name val="Arial Narrow"/>
      <family val="2"/>
    </font>
    <font>
      <b/>
      <sz val="28"/>
      <color theme="3" tint="-0.499984740745262"/>
      <name val="Arial Narrow"/>
      <family val="2"/>
    </font>
    <font>
      <sz val="28"/>
      <color theme="3" tint="-0.499984740745262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gray0625">
        <fgColor indexed="39"/>
        <bgColor indexed="9"/>
      </patternFill>
    </fill>
    <fill>
      <patternFill patternType="solid">
        <fgColor rgb="FF0066CC"/>
        <bgColor indexed="64"/>
      </patternFill>
    </fill>
    <fill>
      <patternFill patternType="solid">
        <fgColor rgb="FF0070C0"/>
        <bgColor indexed="64"/>
      </patternFill>
    </fill>
  </fills>
  <borders count="77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12"/>
      </left>
      <right/>
      <top/>
      <bottom/>
      <diagonal/>
    </border>
    <border>
      <left/>
      <right style="thin">
        <color indexed="12"/>
      </right>
      <top/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12"/>
      </bottom>
      <diagonal/>
    </border>
    <border>
      <left style="thin">
        <color indexed="12"/>
      </left>
      <right/>
      <top/>
      <bottom style="thin">
        <color indexed="1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/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hair">
        <color indexed="9"/>
      </right>
      <top/>
      <bottom style="hair">
        <color indexed="9"/>
      </bottom>
      <diagonal/>
    </border>
    <border>
      <left/>
      <right style="hair">
        <color indexed="9"/>
      </right>
      <top style="hair">
        <color indexed="9"/>
      </top>
      <bottom style="hair">
        <color indexed="9"/>
      </bottom>
      <diagonal/>
    </border>
    <border>
      <left/>
      <right style="hair">
        <color indexed="9"/>
      </right>
      <top style="hair">
        <color indexed="9"/>
      </top>
      <bottom/>
      <diagonal/>
    </border>
    <border>
      <left/>
      <right/>
      <top style="hair">
        <color indexed="9"/>
      </top>
      <bottom style="hair">
        <color indexed="9"/>
      </bottom>
      <diagonal/>
    </border>
    <border>
      <left style="hair">
        <color indexed="9"/>
      </left>
      <right style="hair">
        <color indexed="9"/>
      </right>
      <top/>
      <bottom style="thin">
        <color indexed="12"/>
      </bottom>
      <diagonal/>
    </border>
    <border>
      <left style="hair">
        <color indexed="9"/>
      </left>
      <right/>
      <top/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medium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indexed="12"/>
      </bottom>
      <diagonal/>
    </border>
    <border>
      <left style="thick">
        <color indexed="18"/>
      </left>
      <right style="thin">
        <color indexed="9"/>
      </right>
      <top style="thick">
        <color indexed="18"/>
      </top>
      <bottom/>
      <diagonal/>
    </border>
    <border>
      <left style="thin">
        <color indexed="9"/>
      </left>
      <right style="thin">
        <color indexed="9"/>
      </right>
      <top style="thick">
        <color indexed="18"/>
      </top>
      <bottom/>
      <diagonal/>
    </border>
    <border>
      <left style="thin">
        <color indexed="9"/>
      </left>
      <right style="thick">
        <color indexed="18"/>
      </right>
      <top style="thick">
        <color indexed="18"/>
      </top>
      <bottom/>
      <diagonal/>
    </border>
    <border>
      <left style="thick">
        <color indexed="18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ck">
        <color indexed="18"/>
      </right>
      <top/>
      <bottom/>
      <diagonal/>
    </border>
    <border>
      <left style="thick">
        <color indexed="18"/>
      </left>
      <right/>
      <top style="thin">
        <color indexed="9"/>
      </top>
      <bottom style="thin">
        <color indexed="9"/>
      </bottom>
      <diagonal/>
    </border>
    <border>
      <left style="thin">
        <color indexed="12"/>
      </left>
      <right style="thick">
        <color indexed="18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ck">
        <color indexed="18"/>
      </right>
      <top style="thin">
        <color indexed="12"/>
      </top>
      <bottom/>
      <diagonal/>
    </border>
    <border>
      <left style="thin">
        <color indexed="12"/>
      </left>
      <right style="thick">
        <color indexed="18"/>
      </right>
      <top style="thin">
        <color indexed="12"/>
      </top>
      <bottom style="medium">
        <color indexed="12"/>
      </bottom>
      <diagonal/>
    </border>
    <border>
      <left style="thin">
        <color indexed="12"/>
      </left>
      <right style="thick">
        <color indexed="18"/>
      </right>
      <top/>
      <bottom style="thin">
        <color indexed="12"/>
      </bottom>
      <diagonal/>
    </border>
    <border>
      <left style="thick">
        <color indexed="18"/>
      </left>
      <right/>
      <top style="thin">
        <color indexed="9"/>
      </top>
      <bottom style="thick">
        <color indexed="18"/>
      </bottom>
      <diagonal/>
    </border>
    <border>
      <left/>
      <right style="thin">
        <color indexed="12"/>
      </right>
      <top style="thin">
        <color indexed="12"/>
      </top>
      <bottom style="thick">
        <color indexed="1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ck">
        <color indexed="18"/>
      </bottom>
      <diagonal/>
    </border>
    <border>
      <left style="thin">
        <color indexed="12"/>
      </left>
      <right style="thick">
        <color indexed="18"/>
      </right>
      <top style="thin">
        <color indexed="12"/>
      </top>
      <bottom style="thick">
        <color indexed="18"/>
      </bottom>
      <diagonal/>
    </border>
    <border>
      <left style="thick">
        <color indexed="18"/>
      </left>
      <right/>
      <top style="thin">
        <color indexed="9"/>
      </top>
      <bottom/>
      <diagonal/>
    </border>
    <border>
      <left style="thick">
        <color indexed="18"/>
      </left>
      <right/>
      <top style="medium">
        <color indexed="18"/>
      </top>
      <bottom style="medium">
        <color indexed="18"/>
      </bottom>
      <diagonal/>
    </border>
    <border>
      <left/>
      <right style="thin">
        <color indexed="12"/>
      </right>
      <top style="medium">
        <color indexed="18"/>
      </top>
      <bottom style="medium">
        <color indexed="18"/>
      </bottom>
      <diagonal/>
    </border>
    <border>
      <left style="thin">
        <color indexed="12"/>
      </left>
      <right style="thin">
        <color indexed="12"/>
      </right>
      <top style="medium">
        <color indexed="18"/>
      </top>
      <bottom style="medium">
        <color indexed="18"/>
      </bottom>
      <diagonal/>
    </border>
    <border>
      <left style="thin">
        <color indexed="12"/>
      </left>
      <right style="thick">
        <color indexed="18"/>
      </right>
      <top style="medium">
        <color indexed="18"/>
      </top>
      <bottom style="medium">
        <color indexed="18"/>
      </bottom>
      <diagonal/>
    </border>
    <border>
      <left style="medium">
        <color theme="3" tint="-0.499984740745262"/>
      </left>
      <right/>
      <top style="medium">
        <color theme="3" tint="-0.499984740745262"/>
      </top>
      <bottom/>
      <diagonal/>
    </border>
    <border>
      <left style="thin">
        <color indexed="9"/>
      </left>
      <right style="thin">
        <color indexed="9"/>
      </right>
      <top style="medium">
        <color theme="3" tint="-0.499984740745262"/>
      </top>
      <bottom/>
      <diagonal/>
    </border>
    <border>
      <left style="thin">
        <color indexed="9"/>
      </left>
      <right style="medium">
        <color theme="3" tint="-0.499984740745262"/>
      </right>
      <top style="medium">
        <color theme="3" tint="-0.499984740745262"/>
      </top>
      <bottom/>
      <diagonal/>
    </border>
    <border>
      <left style="medium">
        <color theme="3" tint="-0.499984740745262"/>
      </left>
      <right/>
      <top style="thin">
        <color indexed="9"/>
      </top>
      <bottom style="thin">
        <color indexed="9"/>
      </bottom>
      <diagonal/>
    </border>
    <border>
      <left style="thin">
        <color indexed="12"/>
      </left>
      <right style="medium">
        <color theme="3" tint="-0.499984740745262"/>
      </right>
      <top/>
      <bottom/>
      <diagonal/>
    </border>
    <border>
      <left style="medium">
        <color theme="3" tint="-0.499984740745262"/>
      </left>
      <right/>
      <top/>
      <bottom/>
      <diagonal/>
    </border>
    <border>
      <left style="thin">
        <color indexed="12"/>
      </left>
      <right style="medium">
        <color theme="3" tint="-0.499984740745262"/>
      </right>
      <top/>
      <bottom style="thin">
        <color indexed="12"/>
      </bottom>
      <diagonal/>
    </border>
    <border>
      <left style="thin">
        <color indexed="12"/>
      </left>
      <right style="medium">
        <color theme="3" tint="-0.499984740745262"/>
      </right>
      <top style="thin">
        <color indexed="12"/>
      </top>
      <bottom style="thin">
        <color indexed="12"/>
      </bottom>
      <diagonal/>
    </border>
    <border>
      <left/>
      <right style="medium">
        <color theme="3" tint="-0.499984740745262"/>
      </right>
      <top/>
      <bottom/>
      <diagonal/>
    </border>
    <border>
      <left style="medium">
        <color theme="3" tint="-0.499984740745262"/>
      </left>
      <right/>
      <top style="thin">
        <color indexed="9"/>
      </top>
      <bottom style="medium">
        <color theme="3" tint="-0.499984740745262"/>
      </bottom>
      <diagonal/>
    </border>
    <border>
      <left/>
      <right style="thin">
        <color indexed="12"/>
      </right>
      <top/>
      <bottom style="medium">
        <color theme="3" tint="-0.499984740745262"/>
      </bottom>
      <diagonal/>
    </border>
    <border>
      <left/>
      <right/>
      <top/>
      <bottom style="medium">
        <color theme="3" tint="-0.499984740745262"/>
      </bottom>
      <diagonal/>
    </border>
    <border>
      <left/>
      <right style="medium">
        <color theme="3" tint="-0.499984740745262"/>
      </right>
      <top/>
      <bottom style="medium">
        <color theme="3" tint="-0.499984740745262"/>
      </bottom>
      <diagonal/>
    </border>
    <border>
      <left style="medium">
        <color theme="3" tint="-0.24994659260841701"/>
      </left>
      <right/>
      <top style="medium">
        <color theme="3" tint="-0.24994659260841701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medium">
        <color theme="3" tint="-0.24994659260841701"/>
      </top>
      <bottom/>
      <diagonal/>
    </border>
    <border>
      <left style="thin">
        <color indexed="9"/>
      </left>
      <right style="medium">
        <color theme="3" tint="-0.24994659260841701"/>
      </right>
      <top style="medium">
        <color theme="3" tint="-0.24994659260841701"/>
      </top>
      <bottom/>
      <diagonal/>
    </border>
    <border>
      <left style="medium">
        <color theme="3" tint="-0.24994659260841701"/>
      </left>
      <right/>
      <top style="thin">
        <color indexed="9"/>
      </top>
      <bottom style="thin">
        <color indexed="9"/>
      </bottom>
      <diagonal/>
    </border>
    <border>
      <left style="thin">
        <color indexed="12"/>
      </left>
      <right style="medium">
        <color theme="3" tint="-0.24994659260841701"/>
      </right>
      <top style="thin">
        <color indexed="12"/>
      </top>
      <bottom style="thin">
        <color indexed="12"/>
      </bottom>
      <diagonal/>
    </border>
    <border>
      <left/>
      <right style="medium">
        <color theme="3" tint="-0.24994659260841701"/>
      </right>
      <top/>
      <bottom style="thin">
        <color indexed="12"/>
      </bottom>
      <diagonal/>
    </border>
    <border>
      <left style="medium">
        <color theme="3" tint="-0.24994659260841701"/>
      </left>
      <right/>
      <top style="thin">
        <color indexed="9"/>
      </top>
      <bottom style="medium">
        <color theme="3" tint="-0.24994659260841701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medium">
        <color theme="3" tint="-0.24994659260841701"/>
      </bottom>
      <diagonal/>
    </border>
    <border>
      <left style="thin">
        <color indexed="12"/>
      </left>
      <right/>
      <top/>
      <bottom style="medium">
        <color theme="3" tint="-0.24994659260841701"/>
      </bottom>
      <diagonal/>
    </border>
    <border>
      <left/>
      <right style="thin">
        <color indexed="12"/>
      </right>
      <top/>
      <bottom style="medium">
        <color theme="3" tint="-0.24994659260841701"/>
      </bottom>
      <diagonal/>
    </border>
    <border>
      <left style="thin">
        <color indexed="12"/>
      </left>
      <right style="medium">
        <color theme="3" tint="-0.24994659260841701"/>
      </right>
      <top style="thin">
        <color indexed="12"/>
      </top>
      <bottom style="medium">
        <color theme="3" tint="-0.24994659260841701"/>
      </bottom>
      <diagonal/>
    </border>
    <border>
      <left style="medium">
        <color theme="3" tint="-0.24994659260841701"/>
      </left>
      <right/>
      <top style="medium">
        <color theme="3" tint="-0.24994659260841701"/>
      </top>
      <bottom/>
      <diagonal/>
    </border>
    <border>
      <left style="thin">
        <color indexed="9"/>
      </left>
      <right/>
      <top style="medium">
        <color theme="3" tint="-0.24994659260841701"/>
      </top>
      <bottom/>
      <diagonal/>
    </border>
    <border>
      <left/>
      <right/>
      <top style="medium">
        <color theme="3" tint="-0.24994659260841701"/>
      </top>
      <bottom/>
      <diagonal/>
    </border>
    <border>
      <left/>
      <right style="thin">
        <color indexed="9"/>
      </right>
      <top style="medium">
        <color theme="3" tint="-0.24994659260841701"/>
      </top>
      <bottom/>
      <diagonal/>
    </border>
    <border>
      <left style="medium">
        <color theme="3" tint="-0.24994659260841701"/>
      </left>
      <right/>
      <top/>
      <bottom/>
      <diagonal/>
    </border>
    <border>
      <left style="thin">
        <color indexed="9"/>
      </left>
      <right style="medium">
        <color theme="3" tint="-0.24994659260841701"/>
      </right>
      <top/>
      <bottom/>
      <diagonal/>
    </border>
    <border>
      <left/>
      <right style="medium">
        <color theme="3" tint="-0.24994659260841701"/>
      </right>
      <top/>
      <bottom/>
      <diagonal/>
    </border>
    <border>
      <left style="medium">
        <color theme="3" tint="-0.24994659260841701"/>
      </left>
      <right/>
      <top/>
      <bottom style="medium">
        <color theme="3" tint="-0.24994659260841701"/>
      </bottom>
      <diagonal/>
    </border>
    <border>
      <left/>
      <right/>
      <top/>
      <bottom style="medium">
        <color theme="3" tint="-0.24994659260841701"/>
      </bottom>
      <diagonal/>
    </border>
    <border>
      <left/>
      <right style="medium">
        <color theme="3" tint="-0.24994659260841701"/>
      </right>
      <top/>
      <bottom style="medium">
        <color theme="3" tint="-0.24994659260841701"/>
      </bottom>
      <diagonal/>
    </border>
  </borders>
  <cellStyleXfs count="1">
    <xf numFmtId="0" fontId="0" fillId="0" borderId="0"/>
  </cellStyleXfs>
  <cellXfs count="183">
    <xf numFmtId="0" fontId="0" fillId="0" borderId="0" xfId="0"/>
    <xf numFmtId="0" fontId="0" fillId="0" borderId="0" xfId="0" applyAlignment="1">
      <alignment horizontal="centerContinuous"/>
    </xf>
    <xf numFmtId="0" fontId="3" fillId="0" borderId="0" xfId="0" applyFont="1"/>
    <xf numFmtId="0" fontId="3" fillId="0" borderId="4" xfId="0" applyFont="1" applyBorder="1"/>
    <xf numFmtId="9" fontId="3" fillId="0" borderId="0" xfId="0" applyNumberFormat="1" applyFont="1"/>
    <xf numFmtId="0" fontId="3" fillId="0" borderId="4" xfId="0" applyFont="1" applyBorder="1" applyAlignment="1">
      <alignment horizontal="center"/>
    </xf>
    <xf numFmtId="0" fontId="3" fillId="0" borderId="5" xfId="0" applyFont="1" applyBorder="1"/>
    <xf numFmtId="0" fontId="2" fillId="2" borderId="6" xfId="0" applyFont="1" applyFill="1" applyBorder="1"/>
    <xf numFmtId="164" fontId="3" fillId="0" borderId="0" xfId="0" applyNumberFormat="1" applyFont="1"/>
    <xf numFmtId="1" fontId="3" fillId="0" borderId="0" xfId="0" applyNumberFormat="1" applyFont="1"/>
    <xf numFmtId="164" fontId="3" fillId="0" borderId="4" xfId="0" applyNumberFormat="1" applyFont="1" applyBorder="1"/>
    <xf numFmtId="0" fontId="3" fillId="0" borderId="7" xfId="0" applyFont="1" applyBorder="1"/>
    <xf numFmtId="0" fontId="3" fillId="0" borderId="8" xfId="0" applyFont="1" applyBorder="1"/>
    <xf numFmtId="9" fontId="3" fillId="0" borderId="7" xfId="0" applyNumberFormat="1" applyFont="1" applyBorder="1"/>
    <xf numFmtId="1" fontId="3" fillId="0" borderId="7" xfId="0" applyNumberFormat="1" applyFont="1" applyBorder="1"/>
    <xf numFmtId="0" fontId="2" fillId="2" borderId="9" xfId="0" applyFont="1" applyFill="1" applyBorder="1" applyAlignment="1">
      <alignment horizontal="right"/>
    </xf>
    <xf numFmtId="164" fontId="3" fillId="0" borderId="10" xfId="0" applyNumberFormat="1" applyFont="1" applyBorder="1"/>
    <xf numFmtId="0" fontId="3" fillId="0" borderId="10" xfId="0" applyFont="1" applyBorder="1"/>
    <xf numFmtId="0" fontId="4" fillId="0" borderId="0" xfId="0" applyFont="1" applyAlignment="1">
      <alignment horizontal="centerContinuous"/>
    </xf>
    <xf numFmtId="0" fontId="3" fillId="0" borderId="0" xfId="0" applyFont="1" applyBorder="1"/>
    <xf numFmtId="9" fontId="3" fillId="0" borderId="0" xfId="0" applyNumberFormat="1" applyFont="1" applyBorder="1"/>
    <xf numFmtId="1" fontId="3" fillId="0" borderId="0" xfId="0" applyNumberFormat="1" applyFont="1" applyBorder="1"/>
    <xf numFmtId="164" fontId="3" fillId="0" borderId="0" xfId="0" applyNumberFormat="1" applyFont="1" applyBorder="1"/>
    <xf numFmtId="8" fontId="3" fillId="0" borderId="11" xfId="0" applyNumberFormat="1" applyFont="1" applyBorder="1" applyAlignment="1">
      <alignment horizontal="left"/>
    </xf>
    <xf numFmtId="17" fontId="0" fillId="0" borderId="0" xfId="0" applyNumberFormat="1"/>
    <xf numFmtId="0" fontId="3" fillId="0" borderId="12" xfId="0" applyFont="1" applyBorder="1"/>
    <xf numFmtId="164" fontId="0" fillId="0" borderId="0" xfId="0" applyNumberFormat="1"/>
    <xf numFmtId="0" fontId="1" fillId="0" borderId="12" xfId="0" applyFont="1" applyBorder="1"/>
    <xf numFmtId="0" fontId="3" fillId="0" borderId="0" xfId="0" applyFont="1" applyAlignment="1">
      <alignment horizontal="left"/>
    </xf>
    <xf numFmtId="8" fontId="3" fillId="0" borderId="0" xfId="0" applyNumberFormat="1" applyFont="1" applyAlignment="1">
      <alignment horizontal="left"/>
    </xf>
    <xf numFmtId="0" fontId="8" fillId="0" borderId="8" xfId="0" applyFont="1" applyBorder="1"/>
    <xf numFmtId="0" fontId="3" fillId="3" borderId="12" xfId="0" applyFont="1" applyFill="1" applyBorder="1"/>
    <xf numFmtId="164" fontId="3" fillId="3" borderId="10" xfId="0" applyNumberFormat="1" applyFont="1" applyFill="1" applyBorder="1"/>
    <xf numFmtId="0" fontId="9" fillId="0" borderId="0" xfId="0" applyFont="1"/>
    <xf numFmtId="8" fontId="0" fillId="0" borderId="0" xfId="0" applyNumberFormat="1"/>
    <xf numFmtId="0" fontId="2" fillId="2" borderId="13" xfId="0" applyFont="1" applyFill="1" applyBorder="1" applyAlignment="1">
      <alignment horizontal="right"/>
    </xf>
    <xf numFmtId="0" fontId="2" fillId="2" borderId="14" xfId="0" applyFont="1" applyFill="1" applyBorder="1" applyAlignment="1">
      <alignment horizontal="right"/>
    </xf>
    <xf numFmtId="0" fontId="2" fillId="2" borderId="15" xfId="0" applyFont="1" applyFill="1" applyBorder="1" applyAlignment="1">
      <alignment horizontal="right"/>
    </xf>
    <xf numFmtId="0" fontId="2" fillId="2" borderId="16" xfId="0" applyFont="1" applyFill="1" applyBorder="1" applyAlignment="1">
      <alignment horizontal="right"/>
    </xf>
    <xf numFmtId="164" fontId="8" fillId="0" borderId="10" xfId="0" applyNumberFormat="1" applyFont="1" applyBorder="1"/>
    <xf numFmtId="0" fontId="2" fillId="2" borderId="17" xfId="0" applyFont="1" applyFill="1" applyBorder="1" applyAlignment="1">
      <alignment horizontal="right"/>
    </xf>
    <xf numFmtId="0" fontId="2" fillId="2" borderId="18" xfId="0" applyFont="1" applyFill="1" applyBorder="1" applyAlignment="1">
      <alignment horizontal="right"/>
    </xf>
    <xf numFmtId="0" fontId="13" fillId="0" borderId="0" xfId="0" applyFont="1"/>
    <xf numFmtId="0" fontId="3" fillId="0" borderId="19" xfId="0" applyFont="1" applyBorder="1"/>
    <xf numFmtId="164" fontId="3" fillId="0" borderId="20" xfId="0" applyNumberFormat="1" applyFont="1" applyBorder="1"/>
    <xf numFmtId="0" fontId="3" fillId="3" borderId="11" xfId="0" applyFont="1" applyFill="1" applyBorder="1"/>
    <xf numFmtId="164" fontId="3" fillId="3" borderId="21" xfId="0" applyNumberFormat="1" applyFont="1" applyFill="1" applyBorder="1"/>
    <xf numFmtId="0" fontId="3" fillId="3" borderId="22" xfId="0" applyFont="1" applyFill="1" applyBorder="1"/>
    <xf numFmtId="164" fontId="3" fillId="3" borderId="23" xfId="0" applyNumberFormat="1" applyFont="1" applyFill="1" applyBorder="1"/>
    <xf numFmtId="8" fontId="3" fillId="0" borderId="30" xfId="0" applyNumberFormat="1" applyFont="1" applyFill="1" applyBorder="1"/>
    <xf numFmtId="8" fontId="3" fillId="0" borderId="31" xfId="0" applyNumberFormat="1" applyFont="1" applyFill="1" applyBorder="1"/>
    <xf numFmtId="8" fontId="3" fillId="3" borderId="30" xfId="0" applyNumberFormat="1" applyFont="1" applyFill="1" applyBorder="1"/>
    <xf numFmtId="8" fontId="3" fillId="3" borderId="32" xfId="0" applyNumberFormat="1" applyFont="1" applyFill="1" applyBorder="1"/>
    <xf numFmtId="8" fontId="3" fillId="3" borderId="33" xfId="0" applyNumberFormat="1" applyFont="1" applyFill="1" applyBorder="1"/>
    <xf numFmtId="8" fontId="3" fillId="0" borderId="30" xfId="0" applyNumberFormat="1" applyFont="1" applyBorder="1"/>
    <xf numFmtId="0" fontId="1" fillId="0" borderId="35" xfId="0" applyFont="1" applyBorder="1"/>
    <xf numFmtId="164" fontId="3" fillId="0" borderId="36" xfId="0" applyNumberFormat="1" applyFont="1" applyBorder="1"/>
    <xf numFmtId="8" fontId="3" fillId="0" borderId="37" xfId="0" applyNumberFormat="1" applyFont="1" applyBorder="1"/>
    <xf numFmtId="2" fontId="3" fillId="0" borderId="4" xfId="0" applyNumberFormat="1" applyFont="1" applyBorder="1"/>
    <xf numFmtId="2" fontId="3" fillId="0" borderId="8" xfId="0" applyNumberFormat="1" applyFont="1" applyBorder="1"/>
    <xf numFmtId="164" fontId="3" fillId="0" borderId="12" xfId="0" applyNumberFormat="1" applyFont="1" applyBorder="1"/>
    <xf numFmtId="164" fontId="8" fillId="0" borderId="5" xfId="0" applyNumberFormat="1" applyFont="1" applyBorder="1"/>
    <xf numFmtId="2" fontId="3" fillId="0" borderId="0" xfId="0" applyNumberFormat="1" applyFont="1" applyBorder="1"/>
    <xf numFmtId="0" fontId="15" fillId="0" borderId="0" xfId="0" applyFont="1" applyAlignment="1">
      <alignment horizontal="centerContinuous"/>
    </xf>
    <xf numFmtId="0" fontId="3" fillId="0" borderId="40" xfId="0" applyFont="1" applyBorder="1"/>
    <xf numFmtId="164" fontId="3" fillId="0" borderId="41" xfId="0" applyNumberFormat="1" applyFont="1" applyBorder="1"/>
    <xf numFmtId="8" fontId="3" fillId="0" borderId="42" xfId="0" applyNumberFormat="1" applyFont="1" applyFill="1" applyBorder="1"/>
    <xf numFmtId="0" fontId="8" fillId="0" borderId="0" xfId="0" applyFont="1" applyFill="1" applyBorder="1" applyAlignment="1">
      <alignment horizontal="right"/>
    </xf>
    <xf numFmtId="165" fontId="3" fillId="0" borderId="0" xfId="0" applyNumberFormat="1" applyFont="1" applyBorder="1" applyAlignment="1">
      <alignment horizontal="left"/>
    </xf>
    <xf numFmtId="0" fontId="17" fillId="0" borderId="0" xfId="0" applyFont="1"/>
    <xf numFmtId="10" fontId="0" fillId="0" borderId="0" xfId="0" applyNumberFormat="1"/>
    <xf numFmtId="166" fontId="3" fillId="0" borderId="0" xfId="0" applyNumberFormat="1" applyFont="1"/>
    <xf numFmtId="166" fontId="3" fillId="0" borderId="4" xfId="0" applyNumberFormat="1" applyFont="1" applyBorder="1"/>
    <xf numFmtId="166" fontId="3" fillId="0" borderId="5" xfId="0" applyNumberFormat="1" applyFont="1" applyBorder="1"/>
    <xf numFmtId="166" fontId="3" fillId="0" borderId="7" xfId="0" applyNumberFormat="1" applyFont="1" applyBorder="1"/>
    <xf numFmtId="166" fontId="3" fillId="0" borderId="8" xfId="0" applyNumberFormat="1" applyFont="1" applyBorder="1"/>
    <xf numFmtId="166" fontId="3" fillId="0" borderId="11" xfId="0" applyNumberFormat="1" applyFont="1" applyBorder="1"/>
    <xf numFmtId="167" fontId="3" fillId="0" borderId="0" xfId="0" applyNumberFormat="1" applyFont="1" applyBorder="1"/>
    <xf numFmtId="9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8" fontId="3" fillId="0" borderId="0" xfId="0" applyNumberFormat="1" applyFont="1" applyAlignment="1">
      <alignment horizontal="right"/>
    </xf>
    <xf numFmtId="2" fontId="3" fillId="0" borderId="47" xfId="0" applyNumberFormat="1" applyFont="1" applyBorder="1"/>
    <xf numFmtId="2" fontId="3" fillId="0" borderId="49" xfId="0" applyNumberFormat="1" applyFont="1" applyBorder="1"/>
    <xf numFmtId="164" fontId="3" fillId="0" borderId="50" xfId="0" applyNumberFormat="1" applyFont="1" applyBorder="1"/>
    <xf numFmtId="0" fontId="0" fillId="0" borderId="0" xfId="0" applyBorder="1"/>
    <xf numFmtId="0" fontId="0" fillId="0" borderId="51" xfId="0" applyBorder="1"/>
    <xf numFmtId="0" fontId="0" fillId="0" borderId="0" xfId="0" quotePrefix="1" applyBorder="1"/>
    <xf numFmtId="164" fontId="8" fillId="0" borderId="53" xfId="0" applyNumberFormat="1" applyFont="1" applyBorder="1"/>
    <xf numFmtId="0" fontId="0" fillId="0" borderId="54" xfId="0" quotePrefix="1" applyBorder="1"/>
    <xf numFmtId="0" fontId="0" fillId="0" borderId="54" xfId="0" applyBorder="1"/>
    <xf numFmtId="0" fontId="0" fillId="0" borderId="55" xfId="0" applyBorder="1"/>
    <xf numFmtId="8" fontId="3" fillId="0" borderId="60" xfId="0" applyNumberFormat="1" applyFont="1" applyBorder="1" applyAlignment="1">
      <alignment horizontal="right"/>
    </xf>
    <xf numFmtId="8" fontId="3" fillId="0" borderId="61" xfId="0" applyNumberFormat="1" applyFont="1" applyBorder="1" applyAlignment="1">
      <alignment horizontal="right"/>
    </xf>
    <xf numFmtId="8" fontId="3" fillId="0" borderId="60" xfId="0" applyNumberFormat="1" applyFont="1" applyBorder="1" applyAlignment="1">
      <alignment horizontal="left"/>
    </xf>
    <xf numFmtId="0" fontId="3" fillId="0" borderId="63" xfId="0" applyFont="1" applyBorder="1"/>
    <xf numFmtId="0" fontId="3" fillId="0" borderId="64" xfId="0" applyFont="1" applyBorder="1"/>
    <xf numFmtId="8" fontId="3" fillId="0" borderId="65" xfId="0" applyNumberFormat="1" applyFont="1" applyBorder="1" applyAlignment="1">
      <alignment horizontal="left"/>
    </xf>
    <xf numFmtId="8" fontId="3" fillId="0" borderId="66" xfId="0" applyNumberFormat="1" applyFont="1" applyBorder="1" applyAlignment="1">
      <alignment horizontal="left"/>
    </xf>
    <xf numFmtId="0" fontId="3" fillId="0" borderId="73" xfId="0" applyFont="1" applyBorder="1"/>
    <xf numFmtId="164" fontId="3" fillId="0" borderId="73" xfId="0" applyNumberFormat="1" applyFont="1" applyBorder="1"/>
    <xf numFmtId="0" fontId="3" fillId="0" borderId="75" xfId="0" applyFont="1" applyBorder="1"/>
    <xf numFmtId="2" fontId="3" fillId="0" borderId="64" xfId="0" applyNumberFormat="1" applyFont="1" applyBorder="1"/>
    <xf numFmtId="9" fontId="3" fillId="0" borderId="75" xfId="0" applyNumberFormat="1" applyFont="1" applyBorder="1"/>
    <xf numFmtId="1" fontId="3" fillId="0" borderId="75" xfId="0" applyNumberFormat="1" applyFont="1" applyBorder="1"/>
    <xf numFmtId="164" fontId="3" fillId="0" borderId="64" xfId="0" applyNumberFormat="1" applyFont="1" applyBorder="1"/>
    <xf numFmtId="164" fontId="3" fillId="0" borderId="76" xfId="0" applyNumberFormat="1" applyFont="1" applyBorder="1"/>
    <xf numFmtId="3" fontId="0" fillId="0" borderId="0" xfId="0" applyNumberFormat="1"/>
    <xf numFmtId="3" fontId="3" fillId="0" borderId="12" xfId="0" applyNumberFormat="1" applyFont="1" applyBorder="1"/>
    <xf numFmtId="3" fontId="3" fillId="0" borderId="19" xfId="0" applyNumberFormat="1" applyFont="1" applyBorder="1"/>
    <xf numFmtId="0" fontId="3" fillId="0" borderId="10" xfId="0" applyNumberFormat="1" applyFont="1" applyBorder="1"/>
    <xf numFmtId="0" fontId="2" fillId="4" borderId="24" xfId="0" applyFont="1" applyFill="1" applyBorder="1" applyAlignment="1">
      <alignment horizontal="left" vertical="top"/>
    </xf>
    <xf numFmtId="0" fontId="2" fillId="4" borderId="25" xfId="0" applyFont="1" applyFill="1" applyBorder="1" applyAlignment="1">
      <alignment horizontal="right" vertical="top"/>
    </xf>
    <xf numFmtId="0" fontId="2" fillId="4" borderId="25" xfId="0" applyFont="1" applyFill="1" applyBorder="1" applyAlignment="1">
      <alignment horizontal="right" vertical="top" wrapText="1"/>
    </xf>
    <xf numFmtId="0" fontId="2" fillId="4" borderId="26" xfId="0" applyFont="1" applyFill="1" applyBorder="1" applyAlignment="1">
      <alignment horizontal="right" vertical="top"/>
    </xf>
    <xf numFmtId="0" fontId="2" fillId="4" borderId="27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right"/>
    </xf>
    <xf numFmtId="0" fontId="11" fillId="4" borderId="3" xfId="0" applyFont="1" applyFill="1" applyBorder="1" applyAlignment="1">
      <alignment horizontal="right"/>
    </xf>
    <xf numFmtId="0" fontId="12" fillId="4" borderId="28" xfId="0" applyFont="1" applyFill="1" applyBorder="1" applyAlignment="1">
      <alignment horizontal="right"/>
    </xf>
    <xf numFmtId="0" fontId="2" fillId="4" borderId="29" xfId="0" applyFont="1" applyFill="1" applyBorder="1" applyAlignment="1">
      <alignment horizontal="left"/>
    </xf>
    <xf numFmtId="0" fontId="2" fillId="4" borderId="38" xfId="0" applyFont="1" applyFill="1" applyBorder="1" applyAlignment="1">
      <alignment horizontal="left"/>
    </xf>
    <xf numFmtId="0" fontId="2" fillId="4" borderId="39" xfId="0" applyFont="1" applyFill="1" applyBorder="1" applyAlignment="1">
      <alignment horizontal="left"/>
    </xf>
    <xf numFmtId="0" fontId="2" fillId="4" borderId="29" xfId="0" applyFont="1" applyFill="1" applyBorder="1"/>
    <xf numFmtId="0" fontId="2" fillId="4" borderId="34" xfId="0" applyFont="1" applyFill="1" applyBorder="1"/>
    <xf numFmtId="0" fontId="1" fillId="5" borderId="67" xfId="0" applyFont="1" applyFill="1" applyBorder="1"/>
    <xf numFmtId="0" fontId="1" fillId="5" borderId="71" xfId="0" applyFont="1" applyFill="1" applyBorder="1"/>
    <xf numFmtId="0" fontId="2" fillId="5" borderId="59" xfId="0" applyFont="1" applyFill="1" applyBorder="1"/>
    <xf numFmtId="0" fontId="2" fillId="5" borderId="71" xfId="0" applyFont="1" applyFill="1" applyBorder="1"/>
    <xf numFmtId="0" fontId="2" fillId="5" borderId="74" xfId="0" applyFont="1" applyFill="1" applyBorder="1"/>
    <xf numFmtId="0" fontId="2" fillId="5" borderId="68" xfId="0" applyFont="1" applyFill="1" applyBorder="1" applyAlignment="1">
      <alignment horizontal="centerContinuous"/>
    </xf>
    <xf numFmtId="0" fontId="1" fillId="5" borderId="69" xfId="0" applyFont="1" applyFill="1" applyBorder="1" applyAlignment="1">
      <alignment horizontal="centerContinuous"/>
    </xf>
    <xf numFmtId="0" fontId="1" fillId="5" borderId="70" xfId="0" applyFont="1" applyFill="1" applyBorder="1" applyAlignment="1">
      <alignment horizontal="centerContinuous"/>
    </xf>
    <xf numFmtId="0" fontId="2" fillId="5" borderId="57" xfId="0" applyFont="1" applyFill="1" applyBorder="1" applyAlignment="1">
      <alignment horizontal="center"/>
    </xf>
    <xf numFmtId="0" fontId="2" fillId="5" borderId="58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right"/>
    </xf>
    <xf numFmtId="0" fontId="2" fillId="5" borderId="3" xfId="0" applyFont="1" applyFill="1" applyBorder="1" applyAlignment="1">
      <alignment horizontal="center" vertical="top"/>
    </xf>
    <xf numFmtId="0" fontId="2" fillId="5" borderId="72" xfId="0" applyFont="1" applyFill="1" applyBorder="1" applyAlignment="1">
      <alignment horizontal="center" vertical="top"/>
    </xf>
    <xf numFmtId="0" fontId="1" fillId="5" borderId="43" xfId="0" applyFont="1" applyFill="1" applyBorder="1"/>
    <xf numFmtId="0" fontId="2" fillId="5" borderId="46" xfId="0" applyFont="1" applyFill="1" applyBorder="1"/>
    <xf numFmtId="0" fontId="2" fillId="5" borderId="48" xfId="0" applyFont="1" applyFill="1" applyBorder="1"/>
    <xf numFmtId="0" fontId="2" fillId="5" borderId="52" xfId="0" applyFont="1" applyFill="1" applyBorder="1"/>
    <xf numFmtId="0" fontId="2" fillId="5" borderId="44" xfId="0" applyFont="1" applyFill="1" applyBorder="1" applyAlignment="1">
      <alignment horizontal="right"/>
    </xf>
    <xf numFmtId="0" fontId="2" fillId="5" borderId="45" xfId="0" applyFont="1" applyFill="1" applyBorder="1" applyAlignment="1">
      <alignment horizontal="right"/>
    </xf>
    <xf numFmtId="0" fontId="1" fillId="5" borderId="0" xfId="0" applyFont="1" applyFill="1"/>
    <xf numFmtId="0" fontId="2" fillId="5" borderId="1" xfId="0" applyFont="1" applyFill="1" applyBorder="1" applyAlignment="1">
      <alignment horizontal="centerContinuous"/>
    </xf>
    <xf numFmtId="0" fontId="1" fillId="5" borderId="0" xfId="0" applyFont="1" applyFill="1" applyAlignment="1">
      <alignment horizontal="centerContinuous"/>
    </xf>
    <xf numFmtId="0" fontId="1" fillId="5" borderId="0" xfId="0" applyFont="1" applyFill="1" applyBorder="1" applyAlignment="1">
      <alignment horizontal="centerContinuous"/>
    </xf>
    <xf numFmtId="0" fontId="1" fillId="5" borderId="2" xfId="0" applyFont="1" applyFill="1" applyBorder="1" applyAlignment="1">
      <alignment horizontal="centerContinuous"/>
    </xf>
    <xf numFmtId="0" fontId="2" fillId="5" borderId="3" xfId="0" applyFont="1" applyFill="1" applyBorder="1" applyAlignment="1">
      <alignment horizontal="center"/>
    </xf>
    <xf numFmtId="0" fontId="18" fillId="5" borderId="9" xfId="0" applyFont="1" applyFill="1" applyBorder="1" applyAlignment="1">
      <alignment horizontal="right"/>
    </xf>
    <xf numFmtId="0" fontId="2" fillId="5" borderId="6" xfId="0" applyFont="1" applyFill="1" applyBorder="1"/>
    <xf numFmtId="0" fontId="2" fillId="5" borderId="0" xfId="0" applyFont="1" applyFill="1"/>
    <xf numFmtId="0" fontId="2" fillId="5" borderId="7" xfId="0" applyFont="1" applyFill="1" applyBorder="1"/>
    <xf numFmtId="0" fontId="20" fillId="0" borderId="0" xfId="0" applyFont="1"/>
    <xf numFmtId="164" fontId="21" fillId="0" borderId="0" xfId="0" applyNumberFormat="1" applyFont="1" applyBorder="1"/>
    <xf numFmtId="164" fontId="22" fillId="0" borderId="0" xfId="0" applyNumberFormat="1" applyFont="1" applyBorder="1"/>
    <xf numFmtId="0" fontId="2" fillId="5" borderId="56" xfId="0" applyFont="1" applyFill="1" applyBorder="1"/>
    <xf numFmtId="0" fontId="2" fillId="5" borderId="57" xfId="0" applyFont="1" applyFill="1" applyBorder="1" applyAlignment="1">
      <alignment horizontal="right"/>
    </xf>
    <xf numFmtId="0" fontId="2" fillId="5" borderId="58" xfId="0" applyFont="1" applyFill="1" applyBorder="1" applyAlignment="1">
      <alignment horizontal="right"/>
    </xf>
    <xf numFmtId="0" fontId="2" fillId="5" borderId="59" xfId="0" applyFont="1" applyFill="1" applyBorder="1" applyAlignment="1">
      <alignment horizontal="center"/>
    </xf>
    <xf numFmtId="0" fontId="2" fillId="5" borderId="62" xfId="0" applyFont="1" applyFill="1" applyBorder="1"/>
    <xf numFmtId="0" fontId="2" fillId="5" borderId="6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3" fillId="0" borderId="0" xfId="0" applyFont="1"/>
    <xf numFmtId="8" fontId="23" fillId="0" borderId="0" xfId="0" applyNumberFormat="1" applyFont="1"/>
    <xf numFmtId="164" fontId="23" fillId="0" borderId="0" xfId="0" applyNumberFormat="1" applyFont="1"/>
    <xf numFmtId="7" fontId="23" fillId="0" borderId="0" xfId="0" applyNumberFormat="1" applyFont="1"/>
    <xf numFmtId="0" fontId="23" fillId="0" borderId="0" xfId="0" applyNumberFormat="1" applyFont="1"/>
    <xf numFmtId="164" fontId="24" fillId="0" borderId="0" xfId="0" applyNumberFormat="1" applyFont="1" applyBorder="1"/>
    <xf numFmtId="0" fontId="25" fillId="0" borderId="0" xfId="0" applyFont="1"/>
    <xf numFmtId="0" fontId="2" fillId="5" borderId="68" xfId="0" applyFont="1" applyFill="1" applyBorder="1" applyAlignment="1">
      <alignment horizontal="center"/>
    </xf>
    <xf numFmtId="0" fontId="5" fillId="5" borderId="69" xfId="0" applyFont="1" applyFill="1" applyBorder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5" fillId="0" borderId="0" xfId="0" applyFont="1" applyAlignme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5" fillId="5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/>
  </cellXfs>
  <cellStyles count="1">
    <cellStyle name="Normal" xfId="0" builtinId="0"/>
  </cellStyles>
  <dxfs count="17">
    <dxf>
      <font>
        <condense val="0"/>
        <extend val="0"/>
        <color indexed="9"/>
      </font>
    </dxf>
    <dxf>
      <font>
        <condense val="0"/>
        <extend val="0"/>
        <color indexed="8"/>
      </font>
    </dxf>
    <dxf>
      <font>
        <condense val="0"/>
        <extend val="0"/>
        <color indexed="10"/>
      </font>
    </dxf>
    <dxf>
      <font>
        <condense val="0"/>
        <extend val="0"/>
        <color indexed="9"/>
      </font>
    </dxf>
    <dxf>
      <font>
        <condense val="0"/>
        <extend val="0"/>
        <color indexed="8"/>
      </font>
    </dxf>
    <dxf>
      <font>
        <condense val="0"/>
        <extend val="0"/>
        <color indexed="10"/>
      </font>
    </dxf>
    <dxf>
      <font>
        <condense val="0"/>
        <extend val="0"/>
        <color indexed="8"/>
      </font>
    </dxf>
    <dxf>
      <font>
        <condense val="0"/>
        <extend val="0"/>
        <color indexed="10"/>
      </font>
    </dxf>
    <dxf>
      <font>
        <condense val="0"/>
        <extend val="0"/>
        <color indexed="9"/>
      </font>
    </dxf>
    <dxf>
      <font>
        <condense val="0"/>
        <extend val="0"/>
        <color indexed="8"/>
      </font>
    </dxf>
    <dxf>
      <font>
        <condense val="0"/>
        <extend val="0"/>
        <color indexed="1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colors>
    <mruColors>
      <color rgb="FF0066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552450</xdr:colOff>
      <xdr:row>78</xdr:row>
      <xdr:rowOff>133350</xdr:rowOff>
    </xdr:from>
    <xdr:to>
      <xdr:col>8</xdr:col>
      <xdr:colOff>714375</xdr:colOff>
      <xdr:row>81</xdr:row>
      <xdr:rowOff>257175</xdr:rowOff>
    </xdr:to>
    <xdr:grpSp>
      <xdr:nvGrpSpPr>
        <xdr:cNvPr id="4305" name="Group 11"/>
        <xdr:cNvGrpSpPr>
          <a:grpSpLocks/>
        </xdr:cNvGrpSpPr>
      </xdr:nvGrpSpPr>
      <xdr:grpSpPr bwMode="auto">
        <a:xfrm>
          <a:off x="4479153" y="20673026"/>
          <a:ext cx="2564627" cy="1057446"/>
          <a:chOff x="480" y="1446"/>
          <a:chExt cx="283" cy="106"/>
        </a:xfrm>
      </xdr:grpSpPr>
      <xdr:sp macro="" textlink="">
        <xdr:nvSpPr>
          <xdr:cNvPr id="4307" name="Line 7"/>
          <xdr:cNvSpPr>
            <a:spLocks noChangeShapeType="1"/>
          </xdr:cNvSpPr>
        </xdr:nvSpPr>
        <xdr:spPr bwMode="auto">
          <a:xfrm>
            <a:off x="480" y="1551"/>
            <a:ext cx="283" cy="0"/>
          </a:xfrm>
          <a:prstGeom prst="line">
            <a:avLst/>
          </a:prstGeom>
          <a:noFill/>
          <a:ln w="31750">
            <a:solidFill>
              <a:srgbClr val="000099"/>
            </a:solidFill>
            <a:round/>
            <a:headEnd/>
            <a:tailEnd/>
          </a:ln>
        </xdr:spPr>
      </xdr:sp>
      <xdr:sp macro="" textlink="">
        <xdr:nvSpPr>
          <xdr:cNvPr id="4308" name="Freeform 8"/>
          <xdr:cNvSpPr>
            <a:spLocks/>
          </xdr:cNvSpPr>
        </xdr:nvSpPr>
        <xdr:spPr bwMode="auto">
          <a:xfrm>
            <a:off x="480" y="1446"/>
            <a:ext cx="282" cy="106"/>
          </a:xfrm>
          <a:custGeom>
            <a:avLst/>
            <a:gdLst>
              <a:gd name="T0" fmla="*/ 0 w 282"/>
              <a:gd name="T1" fmla="*/ 101 h 106"/>
              <a:gd name="T2" fmla="*/ 44 w 282"/>
              <a:gd name="T3" fmla="*/ 89 h 106"/>
              <a:gd name="T4" fmla="*/ 147 w 282"/>
              <a:gd name="T5" fmla="*/ 1 h 106"/>
              <a:gd name="T6" fmla="*/ 240 w 282"/>
              <a:gd name="T7" fmla="*/ 83 h 106"/>
              <a:gd name="T8" fmla="*/ 282 w 282"/>
              <a:gd name="T9" fmla="*/ 100 h 106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282"/>
              <a:gd name="T16" fmla="*/ 0 h 106"/>
              <a:gd name="T17" fmla="*/ 282 w 282"/>
              <a:gd name="T18" fmla="*/ 106 h 106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282" h="106">
                <a:moveTo>
                  <a:pt x="0" y="101"/>
                </a:moveTo>
                <a:cubicBezTo>
                  <a:pt x="7" y="99"/>
                  <a:pt x="19" y="106"/>
                  <a:pt x="44" y="89"/>
                </a:cubicBezTo>
                <a:cubicBezTo>
                  <a:pt x="69" y="72"/>
                  <a:pt x="114" y="2"/>
                  <a:pt x="147" y="1"/>
                </a:cubicBezTo>
                <a:cubicBezTo>
                  <a:pt x="180" y="0"/>
                  <a:pt x="218" y="66"/>
                  <a:pt x="240" y="83"/>
                </a:cubicBezTo>
                <a:cubicBezTo>
                  <a:pt x="262" y="100"/>
                  <a:pt x="273" y="96"/>
                  <a:pt x="282" y="100"/>
                </a:cubicBezTo>
              </a:path>
            </a:pathLst>
          </a:custGeom>
          <a:noFill/>
          <a:ln w="31750">
            <a:solidFill>
              <a:srgbClr val="000099"/>
            </a:solidFill>
            <a:round/>
            <a:headEnd/>
            <a:tailEnd/>
          </a:ln>
        </xdr:spPr>
      </xdr:sp>
      <xdr:sp macro="" textlink="">
        <xdr:nvSpPr>
          <xdr:cNvPr id="4309" name="Line 9"/>
          <xdr:cNvSpPr>
            <a:spLocks noChangeShapeType="1"/>
          </xdr:cNvSpPr>
        </xdr:nvSpPr>
        <xdr:spPr bwMode="auto">
          <a:xfrm flipV="1">
            <a:off x="729" y="1446"/>
            <a:ext cx="0" cy="105"/>
          </a:xfrm>
          <a:prstGeom prst="line">
            <a:avLst/>
          </a:prstGeom>
          <a:noFill/>
          <a:ln w="31750">
            <a:solidFill>
              <a:srgbClr val="000099"/>
            </a:solidFill>
            <a:round/>
            <a:headEnd/>
            <a:tailEnd/>
          </a:ln>
        </xdr:spPr>
      </xdr:sp>
      <xdr:sp macro="" textlink="">
        <xdr:nvSpPr>
          <xdr:cNvPr id="4310" name="Line 10"/>
          <xdr:cNvSpPr>
            <a:spLocks noChangeShapeType="1"/>
          </xdr:cNvSpPr>
        </xdr:nvSpPr>
        <xdr:spPr bwMode="auto">
          <a:xfrm flipV="1">
            <a:off x="521" y="1446"/>
            <a:ext cx="0" cy="105"/>
          </a:xfrm>
          <a:prstGeom prst="line">
            <a:avLst/>
          </a:prstGeom>
          <a:noFill/>
          <a:ln w="31750">
            <a:solidFill>
              <a:srgbClr val="000099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4</xdr:col>
      <xdr:colOff>238125</xdr:colOff>
      <xdr:row>57</xdr:row>
      <xdr:rowOff>38100</xdr:rowOff>
    </xdr:from>
    <xdr:to>
      <xdr:col>6</xdr:col>
      <xdr:colOff>85725</xdr:colOff>
      <xdr:row>67</xdr:row>
      <xdr:rowOff>9525</xdr:rowOff>
    </xdr:to>
    <xdr:pic>
      <xdr:nvPicPr>
        <xdr:cNvPr id="4306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r="2643"/>
        <a:stretch>
          <a:fillRect/>
        </a:stretch>
      </xdr:blipFill>
      <xdr:spPr bwMode="auto">
        <a:xfrm>
          <a:off x="3495675" y="12287250"/>
          <a:ext cx="1428750" cy="2924175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>
          <a:off x="209550" y="0"/>
          <a:ext cx="681990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W108"/>
  <sheetViews>
    <sheetView showGridLines="0" showRowColHeaders="0" zoomScale="111" zoomScaleNormal="111" workbookViewId="0">
      <selection activeCell="F52" sqref="F52"/>
    </sheetView>
  </sheetViews>
  <sheetFormatPr defaultRowHeight="13.8" x14ac:dyDescent="0.25"/>
  <cols>
    <col min="1" max="1" width="2.625" customWidth="1"/>
    <col min="2" max="2" width="25.875" customWidth="1"/>
    <col min="3" max="3" width="11.125" customWidth="1"/>
    <col min="4" max="4" width="13.375" customWidth="1"/>
    <col min="5" max="5" width="11.375" customWidth="1"/>
    <col min="6" max="6" width="12.25" customWidth="1"/>
    <col min="7" max="7" width="12" customWidth="1"/>
    <col min="8" max="8" width="15.125" customWidth="1"/>
    <col min="9" max="9" width="12.75" customWidth="1"/>
    <col min="10" max="10" width="22" customWidth="1"/>
    <col min="13" max="13" width="11.375" bestFit="1" customWidth="1"/>
    <col min="14" max="16" width="12.625" customWidth="1"/>
    <col min="18" max="21" width="13" customWidth="1"/>
  </cols>
  <sheetData>
    <row r="1" spans="2:23" ht="42.6" thickBot="1" x14ac:dyDescent="0.9">
      <c r="B1" s="63" t="s">
        <v>66</v>
      </c>
      <c r="C1" s="18"/>
      <c r="D1" s="18"/>
      <c r="E1" s="18"/>
      <c r="F1" s="18"/>
      <c r="G1" s="18"/>
      <c r="H1" s="1"/>
    </row>
    <row r="2" spans="2:23" ht="20.100000000000001" customHeight="1" thickTop="1" x14ac:dyDescent="0.25">
      <c r="B2" s="110"/>
      <c r="C2" s="111" t="s">
        <v>31</v>
      </c>
      <c r="D2" s="111" t="s">
        <v>31</v>
      </c>
      <c r="E2" s="112" t="s">
        <v>38</v>
      </c>
      <c r="F2" s="112" t="s">
        <v>38</v>
      </c>
      <c r="G2" s="111"/>
      <c r="H2" s="113" t="s">
        <v>46</v>
      </c>
    </row>
    <row r="3" spans="2:23" ht="20.100000000000001" customHeight="1" x14ac:dyDescent="0.45">
      <c r="B3" s="114" t="s">
        <v>25</v>
      </c>
      <c r="C3" s="115" t="s">
        <v>40</v>
      </c>
      <c r="D3" s="115" t="s">
        <v>35</v>
      </c>
      <c r="E3" s="115" t="s">
        <v>41</v>
      </c>
      <c r="F3" s="115" t="s">
        <v>13</v>
      </c>
      <c r="G3" s="116" t="s">
        <v>39</v>
      </c>
      <c r="H3" s="117" t="s">
        <v>47</v>
      </c>
    </row>
    <row r="4" spans="2:23" ht="23.25" customHeight="1" x14ac:dyDescent="0.45">
      <c r="B4" s="118" t="s">
        <v>104</v>
      </c>
      <c r="C4" s="25">
        <v>7</v>
      </c>
      <c r="D4" s="25">
        <v>1</v>
      </c>
      <c r="E4" s="16">
        <f>IF($R4&lt;&gt;0,R4,0)</f>
        <v>20.349999999999998</v>
      </c>
      <c r="F4" s="16">
        <f t="shared" ref="E4:H5" si="0">IF($R4&lt;&gt;0,S4,0)</f>
        <v>17.934285714285714</v>
      </c>
      <c r="G4" s="16">
        <f>IF($R4&lt;&gt;0,T4,0)</f>
        <v>28.28</v>
      </c>
      <c r="H4" s="49">
        <f t="shared" si="0"/>
        <v>-13.440000000000001</v>
      </c>
      <c r="K4">
        <v>0</v>
      </c>
      <c r="L4" s="34">
        <f>D4*H4</f>
        <v>-13.440000000000001</v>
      </c>
      <c r="M4" s="26">
        <f>C4*E4</f>
        <v>142.44999999999999</v>
      </c>
      <c r="N4" s="26">
        <f t="shared" ref="N4:P6" si="1">$C4*F4</f>
        <v>125.53999999999999</v>
      </c>
      <c r="O4" s="26">
        <f t="shared" si="1"/>
        <v>197.96</v>
      </c>
      <c r="P4" s="26">
        <f t="shared" si="1"/>
        <v>-94.080000000000013</v>
      </c>
      <c r="R4" s="16">
        <f>EMBA!C$19</f>
        <v>20.349999999999998</v>
      </c>
      <c r="S4" s="16">
        <f>EMBA!D$19</f>
        <v>17.934285714285714</v>
      </c>
      <c r="T4" s="16">
        <f>$D$34-U$4</f>
        <v>28.28</v>
      </c>
      <c r="U4" s="16">
        <f>EMBA!G$19</f>
        <v>-13.440000000000001</v>
      </c>
      <c r="W4" s="153">
        <f>IF(G4&gt;0,G4,"")</f>
        <v>28.28</v>
      </c>
    </row>
    <row r="5" spans="2:23" ht="23.25" customHeight="1" x14ac:dyDescent="0.45">
      <c r="B5" s="118" t="s">
        <v>103</v>
      </c>
      <c r="C5" s="107">
        <v>10</v>
      </c>
      <c r="D5" s="25">
        <v>1</v>
      </c>
      <c r="E5" s="16">
        <f t="shared" si="0"/>
        <v>0</v>
      </c>
      <c r="F5" s="16">
        <f t="shared" si="0"/>
        <v>0</v>
      </c>
      <c r="G5" s="16">
        <f t="shared" si="0"/>
        <v>0</v>
      </c>
      <c r="H5" s="49">
        <f t="shared" si="0"/>
        <v>0</v>
      </c>
      <c r="J5" s="152"/>
      <c r="K5" s="162" t="str">
        <f>IF(E5&gt;0,C5,"")</f>
        <v/>
      </c>
      <c r="L5" s="163">
        <f t="shared" ref="L5:L29" si="2">D5*H5</f>
        <v>0</v>
      </c>
      <c r="M5" s="164">
        <f>C5*E5</f>
        <v>0</v>
      </c>
      <c r="N5" s="164">
        <f t="shared" si="1"/>
        <v>0</v>
      </c>
      <c r="O5" s="164">
        <f t="shared" si="1"/>
        <v>0</v>
      </c>
      <c r="P5" s="164">
        <f t="shared" si="1"/>
        <v>0</v>
      </c>
      <c r="Q5" s="152"/>
      <c r="R5" s="16">
        <f>'Sec1'!C$19</f>
        <v>0</v>
      </c>
      <c r="S5" s="16">
        <f>'Sec1'!D$19</f>
        <v>0</v>
      </c>
      <c r="T5" s="16">
        <f>$D$34-U$5</f>
        <v>14.84</v>
      </c>
      <c r="U5" s="16">
        <f>'Sec1'!G$19</f>
        <v>0</v>
      </c>
      <c r="W5" s="153" t="str">
        <f t="shared" ref="W5:W33" si="3">IF(G5&gt;0,G5,"")</f>
        <v/>
      </c>
    </row>
    <row r="6" spans="2:23" ht="23.25" customHeight="1" thickBot="1" x14ac:dyDescent="0.5">
      <c r="B6" s="119" t="s">
        <v>102</v>
      </c>
      <c r="C6" s="108">
        <v>11</v>
      </c>
      <c r="D6" s="43">
        <v>1</v>
      </c>
      <c r="E6" s="44">
        <f>IF($R6&lt;&gt;0,R6,0)</f>
        <v>0</v>
      </c>
      <c r="F6" s="44">
        <f>IF($R6&lt;&gt;0,S6,0)</f>
        <v>0</v>
      </c>
      <c r="G6" s="44">
        <f>IF($R6&lt;&gt;0,T6,0)</f>
        <v>0</v>
      </c>
      <c r="H6" s="50">
        <f>IF($R6&lt;&gt;0,U6,0)</f>
        <v>0</v>
      </c>
      <c r="J6" s="152"/>
      <c r="K6" s="162" t="str">
        <f>IF(E6&gt;0,C6,"")</f>
        <v/>
      </c>
      <c r="L6" s="163">
        <f t="shared" si="2"/>
        <v>0</v>
      </c>
      <c r="M6" s="164">
        <f>C6*E6</f>
        <v>0</v>
      </c>
      <c r="N6" s="164">
        <f t="shared" si="1"/>
        <v>0</v>
      </c>
      <c r="O6" s="164">
        <f t="shared" si="1"/>
        <v>0</v>
      </c>
      <c r="P6" s="164">
        <f t="shared" si="1"/>
        <v>0</v>
      </c>
      <c r="Q6" s="152"/>
      <c r="R6" s="16">
        <f>'Sec2'!C$18</f>
        <v>0</v>
      </c>
      <c r="S6" s="16">
        <f>'Sec2'!D$18</f>
        <v>0</v>
      </c>
      <c r="T6" s="16">
        <f>$D$34-U$6</f>
        <v>14.84</v>
      </c>
      <c r="U6" s="16">
        <f>'Sec2'!G$18</f>
        <v>0</v>
      </c>
      <c r="W6" s="153" t="str">
        <f t="shared" si="3"/>
        <v/>
      </c>
    </row>
    <row r="7" spans="2:23" ht="23.25" customHeight="1" thickBot="1" x14ac:dyDescent="0.5">
      <c r="B7" s="120" t="s">
        <v>90</v>
      </c>
      <c r="C7" s="64">
        <f>SUM(C4:C6)</f>
        <v>28</v>
      </c>
      <c r="D7" s="64">
        <f>SUM(D4:D6)</f>
        <v>3</v>
      </c>
      <c r="E7" s="65">
        <f>M7</f>
        <v>5.0874999999999995</v>
      </c>
      <c r="F7" s="65">
        <f>N7</f>
        <v>4.4835714285714285</v>
      </c>
      <c r="G7" s="65">
        <f>O7</f>
        <v>7.07</v>
      </c>
      <c r="H7" s="66">
        <f>P7</f>
        <v>-3.3600000000000003</v>
      </c>
      <c r="J7" s="152"/>
      <c r="K7" s="162">
        <f>C7</f>
        <v>28</v>
      </c>
      <c r="L7" s="165">
        <f>D7</f>
        <v>3</v>
      </c>
      <c r="M7" s="164">
        <f>IF(C7&gt;0,SUM(M4:M6)/$C7,0)</f>
        <v>5.0874999999999995</v>
      </c>
      <c r="N7" s="166">
        <f>IF(C7&gt;0,SUM(N4:N6)/$C7,0)</f>
        <v>4.4835714285714285</v>
      </c>
      <c r="O7" s="164">
        <f>IF(C7&gt;0,SUM(O4:O6)/$C7,0)</f>
        <v>7.07</v>
      </c>
      <c r="P7" s="164">
        <f>IF(C7&gt;0,SUM(P4:P6)/$C7,0)</f>
        <v>-3.3600000000000003</v>
      </c>
      <c r="Q7" s="152"/>
      <c r="R7" s="22"/>
      <c r="S7" s="22"/>
      <c r="T7" s="22"/>
      <c r="U7" s="22"/>
      <c r="W7" s="153">
        <f t="shared" si="3"/>
        <v>7.07</v>
      </c>
    </row>
    <row r="8" spans="2:23" ht="23.25" hidden="1" customHeight="1" x14ac:dyDescent="0.45">
      <c r="B8" s="118"/>
      <c r="C8" s="45"/>
      <c r="D8" s="45"/>
      <c r="E8" s="46"/>
      <c r="F8" s="46"/>
      <c r="G8" s="46"/>
      <c r="H8" s="53"/>
      <c r="J8" s="152"/>
      <c r="K8" s="162">
        <f t="shared" ref="K8:K21" si="4">C8</f>
        <v>0</v>
      </c>
      <c r="L8" s="165">
        <f>D8*H8</f>
        <v>0</v>
      </c>
      <c r="M8" s="164">
        <f t="shared" ref="M8:M25" si="5">C8*E8</f>
        <v>0</v>
      </c>
      <c r="N8" s="164">
        <f t="shared" ref="N8:P19" si="6">$C8*F8</f>
        <v>0</v>
      </c>
      <c r="O8" s="164">
        <f t="shared" si="6"/>
        <v>0</v>
      </c>
      <c r="P8" s="164">
        <f t="shared" si="6"/>
        <v>0</v>
      </c>
      <c r="Q8" s="152"/>
      <c r="R8" s="22"/>
      <c r="S8" s="22"/>
      <c r="T8" s="22"/>
      <c r="U8" s="22"/>
      <c r="W8" s="153" t="str">
        <f t="shared" si="3"/>
        <v/>
      </c>
    </row>
    <row r="9" spans="2:23" ht="23.25" hidden="1" customHeight="1" x14ac:dyDescent="0.45">
      <c r="B9" s="118"/>
      <c r="C9" s="45"/>
      <c r="D9" s="45"/>
      <c r="E9" s="46"/>
      <c r="F9" s="46"/>
      <c r="G9" s="46"/>
      <c r="H9" s="53"/>
      <c r="J9" s="152"/>
      <c r="K9" s="162">
        <f t="shared" ref="K9:K12" si="7">C9</f>
        <v>0</v>
      </c>
      <c r="L9" s="165">
        <f t="shared" ref="L9:L12" si="8">D9*H9</f>
        <v>0</v>
      </c>
      <c r="M9" s="164">
        <f t="shared" ref="M9:M12" si="9">C9*E9</f>
        <v>0</v>
      </c>
      <c r="N9" s="164">
        <f t="shared" ref="N9:N12" si="10">$C9*F9</f>
        <v>0</v>
      </c>
      <c r="O9" s="164">
        <f t="shared" ref="O9:O12" si="11">$C9*G9</f>
        <v>0</v>
      </c>
      <c r="P9" s="164">
        <f t="shared" ref="P9:P12" si="12">$C9*H9</f>
        <v>0</v>
      </c>
      <c r="Q9" s="152"/>
      <c r="R9" s="22"/>
      <c r="S9" s="22"/>
      <c r="T9" s="22"/>
      <c r="U9" s="22"/>
      <c r="W9" s="153"/>
    </row>
    <row r="10" spans="2:23" ht="23.25" customHeight="1" x14ac:dyDescent="0.45">
      <c r="B10" s="118" t="s">
        <v>100</v>
      </c>
      <c r="C10" s="45">
        <v>7</v>
      </c>
      <c r="D10" s="45">
        <v>1</v>
      </c>
      <c r="E10" s="46">
        <v>20.349999999999998</v>
      </c>
      <c r="F10" s="46">
        <v>17.934285714285714</v>
      </c>
      <c r="G10" s="46">
        <v>28.28</v>
      </c>
      <c r="H10" s="53">
        <v>-13.440000000000001</v>
      </c>
      <c r="J10" s="152"/>
      <c r="K10" s="162">
        <f t="shared" si="7"/>
        <v>7</v>
      </c>
      <c r="L10" s="165">
        <f t="shared" si="8"/>
        <v>-13.440000000000001</v>
      </c>
      <c r="M10" s="164">
        <f t="shared" si="9"/>
        <v>142.44999999999999</v>
      </c>
      <c r="N10" s="164">
        <f t="shared" si="10"/>
        <v>125.53999999999999</v>
      </c>
      <c r="O10" s="164">
        <f t="shared" si="11"/>
        <v>197.96</v>
      </c>
      <c r="P10" s="164">
        <f t="shared" si="12"/>
        <v>-94.080000000000013</v>
      </c>
      <c r="Q10" s="152"/>
      <c r="R10" s="22"/>
      <c r="S10" s="22"/>
      <c r="T10" s="22"/>
      <c r="U10" s="22"/>
      <c r="W10" s="153"/>
    </row>
    <row r="11" spans="2:23" ht="23.25" customHeight="1" x14ac:dyDescent="0.45">
      <c r="B11" s="118" t="s">
        <v>101</v>
      </c>
      <c r="C11" s="45">
        <v>21</v>
      </c>
      <c r="D11" s="45">
        <v>2</v>
      </c>
      <c r="E11" s="46">
        <v>18.361666666666665</v>
      </c>
      <c r="F11" s="46">
        <v>16.919999999999998</v>
      </c>
      <c r="G11" s="46">
        <v>22.255714285714287</v>
      </c>
      <c r="H11" s="53">
        <v>-7.4157142857142864</v>
      </c>
      <c r="J11" s="152"/>
      <c r="K11" s="162">
        <f t="shared" si="7"/>
        <v>21</v>
      </c>
      <c r="L11" s="165">
        <f t="shared" si="8"/>
        <v>-14.831428571428573</v>
      </c>
      <c r="M11" s="164">
        <f t="shared" si="9"/>
        <v>385.59499999999997</v>
      </c>
      <c r="N11" s="164">
        <f t="shared" si="10"/>
        <v>355.31999999999994</v>
      </c>
      <c r="O11" s="164">
        <f t="shared" si="11"/>
        <v>467.37</v>
      </c>
      <c r="P11" s="164">
        <f t="shared" si="12"/>
        <v>-155.73000000000002</v>
      </c>
      <c r="Q11" s="152"/>
      <c r="R11" s="22"/>
      <c r="S11" s="22"/>
      <c r="T11" s="22"/>
      <c r="U11" s="22"/>
      <c r="W11" s="153"/>
    </row>
    <row r="12" spans="2:23" ht="23.25" customHeight="1" x14ac:dyDescent="0.45">
      <c r="B12" s="118" t="s">
        <v>96</v>
      </c>
      <c r="C12" s="45">
        <v>5</v>
      </c>
      <c r="D12" s="45">
        <v>1</v>
      </c>
      <c r="E12" s="46">
        <v>26.4</v>
      </c>
      <c r="F12" s="46">
        <v>24.186</v>
      </c>
      <c r="G12" s="46">
        <v>70</v>
      </c>
      <c r="H12" s="53">
        <v>-55.16</v>
      </c>
      <c r="J12" s="152"/>
      <c r="K12" s="162">
        <f t="shared" si="7"/>
        <v>5</v>
      </c>
      <c r="L12" s="165">
        <f t="shared" si="8"/>
        <v>-55.16</v>
      </c>
      <c r="M12" s="164">
        <f t="shared" si="9"/>
        <v>132</v>
      </c>
      <c r="N12" s="164">
        <f t="shared" si="10"/>
        <v>120.93</v>
      </c>
      <c r="O12" s="164">
        <f t="shared" si="11"/>
        <v>350</v>
      </c>
      <c r="P12" s="164">
        <f t="shared" si="12"/>
        <v>-275.79999999999995</v>
      </c>
      <c r="Q12" s="152"/>
      <c r="R12" s="22"/>
      <c r="S12" s="22"/>
      <c r="T12" s="22"/>
      <c r="U12" s="22"/>
      <c r="W12" s="153"/>
    </row>
    <row r="13" spans="2:23" ht="23.25" customHeight="1" x14ac:dyDescent="0.45">
      <c r="B13" s="118" t="s">
        <v>99</v>
      </c>
      <c r="C13" s="45">
        <v>22</v>
      </c>
      <c r="D13" s="45">
        <v>2</v>
      </c>
      <c r="E13" s="46">
        <v>16.996363636363636</v>
      </c>
      <c r="F13" s="46">
        <v>16.197727272727274</v>
      </c>
      <c r="G13" s="46">
        <v>27.15</v>
      </c>
      <c r="H13" s="53">
        <v>-12.31</v>
      </c>
      <c r="J13" s="152"/>
      <c r="K13" s="162">
        <f t="shared" si="4"/>
        <v>22</v>
      </c>
      <c r="L13" s="165">
        <f>D13*H13</f>
        <v>-24.62</v>
      </c>
      <c r="M13" s="164">
        <f t="shared" si="5"/>
        <v>373.92</v>
      </c>
      <c r="N13" s="164">
        <f t="shared" si="6"/>
        <v>356.35</v>
      </c>
      <c r="O13" s="164">
        <f t="shared" si="6"/>
        <v>597.29999999999995</v>
      </c>
      <c r="P13" s="164">
        <f t="shared" si="6"/>
        <v>-270.82</v>
      </c>
      <c r="Q13" s="152"/>
      <c r="R13" s="22"/>
      <c r="S13" s="22"/>
      <c r="T13" s="22"/>
      <c r="U13" s="22"/>
      <c r="W13" s="153">
        <f t="shared" si="3"/>
        <v>27.15</v>
      </c>
    </row>
    <row r="14" spans="2:23" ht="23.25" customHeight="1" x14ac:dyDescent="0.45">
      <c r="B14" s="118" t="s">
        <v>94</v>
      </c>
      <c r="C14" s="45">
        <v>7</v>
      </c>
      <c r="D14" s="45">
        <v>1</v>
      </c>
      <c r="E14" s="46">
        <v>20.412857142857142</v>
      </c>
      <c r="F14" s="46">
        <v>17.758571428571429</v>
      </c>
      <c r="G14" s="46">
        <v>23.31</v>
      </c>
      <c r="H14" s="53">
        <v>-8.4699999999999989</v>
      </c>
      <c r="J14" s="152"/>
      <c r="K14" s="162">
        <f t="shared" si="4"/>
        <v>7</v>
      </c>
      <c r="L14" s="165">
        <f t="shared" ref="L14:L15" si="13">D14*H14</f>
        <v>-8.4699999999999989</v>
      </c>
      <c r="M14" s="164">
        <f t="shared" si="5"/>
        <v>142.88999999999999</v>
      </c>
      <c r="N14" s="164">
        <f t="shared" si="6"/>
        <v>124.31</v>
      </c>
      <c r="O14" s="164">
        <f t="shared" si="6"/>
        <v>163.16999999999999</v>
      </c>
      <c r="P14" s="164">
        <f t="shared" si="6"/>
        <v>-59.289999999999992</v>
      </c>
      <c r="Q14" s="152"/>
      <c r="R14" s="22"/>
      <c r="S14" s="22"/>
      <c r="T14" s="22"/>
      <c r="U14" s="22"/>
      <c r="W14" s="153">
        <f t="shared" si="3"/>
        <v>23.31</v>
      </c>
    </row>
    <row r="15" spans="2:23" ht="23.25" customHeight="1" x14ac:dyDescent="0.45">
      <c r="B15" s="118" t="s">
        <v>95</v>
      </c>
      <c r="C15" s="45">
        <v>7</v>
      </c>
      <c r="D15" s="45">
        <v>1</v>
      </c>
      <c r="E15" s="46">
        <v>19.668571428571429</v>
      </c>
      <c r="F15" s="46">
        <v>17.361428571428572</v>
      </c>
      <c r="G15" s="46">
        <v>20.5</v>
      </c>
      <c r="H15" s="53">
        <v>-5.66</v>
      </c>
      <c r="J15" s="152"/>
      <c r="K15" s="162">
        <f t="shared" si="4"/>
        <v>7</v>
      </c>
      <c r="L15" s="165">
        <f t="shared" si="13"/>
        <v>-5.66</v>
      </c>
      <c r="M15" s="164">
        <f t="shared" si="5"/>
        <v>137.68</v>
      </c>
      <c r="N15" s="164">
        <f t="shared" si="6"/>
        <v>121.53</v>
      </c>
      <c r="O15" s="164">
        <f t="shared" si="6"/>
        <v>143.5</v>
      </c>
      <c r="P15" s="164">
        <f t="shared" si="6"/>
        <v>-39.620000000000005</v>
      </c>
      <c r="Q15" s="152"/>
      <c r="R15" s="22"/>
      <c r="S15" s="22"/>
      <c r="T15" s="22"/>
      <c r="U15" s="22"/>
      <c r="W15" s="153">
        <f t="shared" si="3"/>
        <v>20.5</v>
      </c>
    </row>
    <row r="16" spans="2:23" ht="23.25" customHeight="1" x14ac:dyDescent="0.45">
      <c r="B16" s="118" t="s">
        <v>93</v>
      </c>
      <c r="C16" s="45">
        <v>10</v>
      </c>
      <c r="D16" s="45">
        <v>1</v>
      </c>
      <c r="E16" s="46">
        <v>18.804000000000002</v>
      </c>
      <c r="F16" s="46">
        <v>17.012</v>
      </c>
      <c r="G16" s="46">
        <v>21</v>
      </c>
      <c r="H16" s="53">
        <v>-6.16</v>
      </c>
      <c r="J16" s="152"/>
      <c r="K16" s="162">
        <f t="shared" ref="K16:K17" si="14">C16</f>
        <v>10</v>
      </c>
      <c r="L16" s="165">
        <f t="shared" ref="L16:L17" si="15">D16*H16</f>
        <v>-6.16</v>
      </c>
      <c r="M16" s="164">
        <f t="shared" ref="M16:M17" si="16">C16*E16</f>
        <v>188.04000000000002</v>
      </c>
      <c r="N16" s="164">
        <f t="shared" ref="N16:N17" si="17">$C16*F16</f>
        <v>170.12</v>
      </c>
      <c r="O16" s="164">
        <f t="shared" ref="O16:O17" si="18">$C16*G16</f>
        <v>210</v>
      </c>
      <c r="P16" s="164">
        <f t="shared" ref="P16:P17" si="19">$C16*H16</f>
        <v>-61.6</v>
      </c>
      <c r="Q16" s="152"/>
      <c r="R16" s="22"/>
      <c r="S16" s="22"/>
      <c r="T16" s="22"/>
      <c r="U16" s="22"/>
      <c r="W16" s="153">
        <f t="shared" si="3"/>
        <v>21</v>
      </c>
    </row>
    <row r="17" spans="2:23" ht="23.25" customHeight="1" x14ac:dyDescent="0.45">
      <c r="B17" s="118" t="s">
        <v>92</v>
      </c>
      <c r="C17" s="45">
        <v>6</v>
      </c>
      <c r="D17" s="45">
        <v>1</v>
      </c>
      <c r="E17" s="46">
        <v>16.681666666666668</v>
      </c>
      <c r="F17" s="46">
        <v>16.308333333333334</v>
      </c>
      <c r="G17" s="46">
        <v>22.37</v>
      </c>
      <c r="H17" s="53">
        <v>-7.5300000000000011</v>
      </c>
      <c r="J17" s="152"/>
      <c r="K17" s="162">
        <f t="shared" si="14"/>
        <v>6</v>
      </c>
      <c r="L17" s="165">
        <f t="shared" si="15"/>
        <v>-7.5300000000000011</v>
      </c>
      <c r="M17" s="164">
        <f t="shared" si="16"/>
        <v>100.09</v>
      </c>
      <c r="N17" s="164">
        <f t="shared" si="17"/>
        <v>97.85</v>
      </c>
      <c r="O17" s="164">
        <f t="shared" si="18"/>
        <v>134.22</v>
      </c>
      <c r="P17" s="164">
        <f t="shared" si="19"/>
        <v>-45.180000000000007</v>
      </c>
      <c r="Q17" s="152"/>
      <c r="R17" s="22"/>
      <c r="S17" s="22"/>
      <c r="T17" s="22"/>
      <c r="U17" s="22"/>
      <c r="W17" s="153">
        <f t="shared" si="3"/>
        <v>22.37</v>
      </c>
    </row>
    <row r="18" spans="2:23" ht="23.25" customHeight="1" x14ac:dyDescent="0.45">
      <c r="B18" s="118" t="s">
        <v>89</v>
      </c>
      <c r="C18" s="45">
        <v>20</v>
      </c>
      <c r="D18" s="45">
        <v>2</v>
      </c>
      <c r="E18" s="46">
        <v>23.284999999999997</v>
      </c>
      <c r="F18" s="46">
        <v>20.149999999999999</v>
      </c>
      <c r="G18" s="46">
        <v>28.9</v>
      </c>
      <c r="H18" s="53">
        <v>-14.059999999999999</v>
      </c>
      <c r="J18" s="152"/>
      <c r="K18" s="162">
        <f t="shared" si="4"/>
        <v>20</v>
      </c>
      <c r="L18" s="165">
        <f>D18*H18</f>
        <v>-28.119999999999997</v>
      </c>
      <c r="M18" s="164">
        <f t="shared" si="5"/>
        <v>465.69999999999993</v>
      </c>
      <c r="N18" s="164">
        <f t="shared" si="6"/>
        <v>403</v>
      </c>
      <c r="O18" s="164">
        <f t="shared" si="6"/>
        <v>578</v>
      </c>
      <c r="P18" s="164">
        <f t="shared" si="6"/>
        <v>-281.2</v>
      </c>
      <c r="Q18" s="152"/>
      <c r="R18" s="22"/>
      <c r="S18" s="22"/>
      <c r="T18" s="22"/>
      <c r="U18" s="22"/>
      <c r="W18" s="153">
        <f t="shared" si="3"/>
        <v>28.9</v>
      </c>
    </row>
    <row r="19" spans="2:23" ht="23.25" customHeight="1" x14ac:dyDescent="0.45">
      <c r="B19" s="118" t="s">
        <v>86</v>
      </c>
      <c r="C19" s="45">
        <v>9</v>
      </c>
      <c r="D19" s="45">
        <v>2</v>
      </c>
      <c r="E19" s="46">
        <v>16.807777777777776</v>
      </c>
      <c r="F19" s="46">
        <v>15.177777777777777</v>
      </c>
      <c r="G19" s="46">
        <v>21.7777777777778</v>
      </c>
      <c r="H19" s="53">
        <v>-6.9377777777777778</v>
      </c>
      <c r="J19" s="152"/>
      <c r="K19" s="162">
        <f t="shared" si="4"/>
        <v>9</v>
      </c>
      <c r="L19" s="165">
        <f>D19*H19</f>
        <v>-13.875555555555556</v>
      </c>
      <c r="M19" s="164">
        <f t="shared" si="5"/>
        <v>151.26999999999998</v>
      </c>
      <c r="N19" s="164">
        <f t="shared" si="6"/>
        <v>136.6</v>
      </c>
      <c r="O19" s="164">
        <f t="shared" si="6"/>
        <v>196.0000000000002</v>
      </c>
      <c r="P19" s="164">
        <f t="shared" si="6"/>
        <v>-62.44</v>
      </c>
      <c r="Q19" s="152"/>
      <c r="R19" s="22"/>
      <c r="S19" s="22"/>
      <c r="T19" s="22"/>
      <c r="U19" s="22"/>
      <c r="W19" s="153">
        <f t="shared" si="3"/>
        <v>21.7777777777778</v>
      </c>
    </row>
    <row r="20" spans="2:23" ht="23.25" customHeight="1" x14ac:dyDescent="0.45">
      <c r="B20" s="118" t="s">
        <v>74</v>
      </c>
      <c r="C20" s="45">
        <v>24</v>
      </c>
      <c r="D20" s="45">
        <v>3</v>
      </c>
      <c r="E20" s="46">
        <v>17.065925925925924</v>
      </c>
      <c r="F20" s="46">
        <v>15.442425925925926</v>
      </c>
      <c r="G20" s="46">
        <v>21.925925925925924</v>
      </c>
      <c r="H20" s="53">
        <v>-7.0859259259259266</v>
      </c>
      <c r="J20" s="152"/>
      <c r="K20" s="162">
        <f t="shared" si="4"/>
        <v>24</v>
      </c>
      <c r="L20" s="165">
        <f>D20*H20</f>
        <v>-21.257777777777779</v>
      </c>
      <c r="M20" s="164">
        <f t="shared" si="5"/>
        <v>409.58222222222219</v>
      </c>
      <c r="N20" s="164">
        <f t="shared" ref="N20:P21" si="20">$C20*F20</f>
        <v>370.61822222222224</v>
      </c>
      <c r="O20" s="164">
        <f t="shared" si="20"/>
        <v>526.22222222222217</v>
      </c>
      <c r="P20" s="164">
        <f t="shared" si="20"/>
        <v>-170.06222222222223</v>
      </c>
      <c r="Q20" s="152"/>
      <c r="R20" s="22"/>
      <c r="S20" s="22"/>
      <c r="T20" s="22"/>
      <c r="U20" s="22"/>
      <c r="W20" s="153">
        <f t="shared" si="3"/>
        <v>21.925925925925924</v>
      </c>
    </row>
    <row r="21" spans="2:23" ht="23.25" customHeight="1" x14ac:dyDescent="0.45">
      <c r="B21" s="118" t="s">
        <v>67</v>
      </c>
      <c r="C21" s="45">
        <v>18</v>
      </c>
      <c r="D21" s="45">
        <v>3</v>
      </c>
      <c r="E21" s="46">
        <v>17.430396825396823</v>
      </c>
      <c r="F21" s="46">
        <v>15.259841269841269</v>
      </c>
      <c r="G21" s="46">
        <v>24.438333333333333</v>
      </c>
      <c r="H21" s="53">
        <v>-9.5983333333333345</v>
      </c>
      <c r="J21" s="152"/>
      <c r="K21" s="162">
        <f t="shared" si="4"/>
        <v>18</v>
      </c>
      <c r="L21" s="165">
        <f t="shared" si="2"/>
        <v>-28.795000000000002</v>
      </c>
      <c r="M21" s="164">
        <f t="shared" si="5"/>
        <v>313.74714285714282</v>
      </c>
      <c r="N21" s="164">
        <f t="shared" si="20"/>
        <v>274.67714285714283</v>
      </c>
      <c r="O21" s="164">
        <f t="shared" si="20"/>
        <v>439.89</v>
      </c>
      <c r="P21" s="164">
        <f t="shared" si="20"/>
        <v>-172.77</v>
      </c>
      <c r="Q21" s="152"/>
      <c r="R21" s="22"/>
      <c r="S21" s="22"/>
      <c r="T21" s="22"/>
      <c r="U21" s="22"/>
      <c r="W21" s="153">
        <f t="shared" si="3"/>
        <v>24.438333333333333</v>
      </c>
    </row>
    <row r="22" spans="2:23" ht="23.25" customHeight="1" x14ac:dyDescent="0.45">
      <c r="B22" s="118" t="s">
        <v>65</v>
      </c>
      <c r="C22" s="31">
        <v>19</v>
      </c>
      <c r="D22" s="31">
        <v>3</v>
      </c>
      <c r="E22" s="32">
        <v>20.481547619047618</v>
      </c>
      <c r="F22" s="32">
        <v>17.36470238095238</v>
      </c>
      <c r="G22" s="32">
        <v>29.666666666666668</v>
      </c>
      <c r="H22" s="51">
        <v>-14.826666666666668</v>
      </c>
      <c r="J22" s="152"/>
      <c r="K22" s="162">
        <f t="shared" ref="K22:K29" si="21">C22</f>
        <v>19</v>
      </c>
      <c r="L22" s="165">
        <f t="shared" si="2"/>
        <v>-44.480000000000004</v>
      </c>
      <c r="M22" s="164">
        <f t="shared" si="5"/>
        <v>389.14940476190475</v>
      </c>
      <c r="N22" s="164">
        <f t="shared" ref="N22:P23" si="22">$C22*F22</f>
        <v>329.92934523809521</v>
      </c>
      <c r="O22" s="164">
        <f t="shared" si="22"/>
        <v>563.66666666666674</v>
      </c>
      <c r="P22" s="164">
        <f t="shared" si="22"/>
        <v>-281.70666666666671</v>
      </c>
      <c r="Q22" s="152"/>
      <c r="R22" s="22"/>
      <c r="S22" s="22"/>
      <c r="T22" s="22"/>
      <c r="U22" s="22"/>
      <c r="W22" s="153">
        <f t="shared" si="3"/>
        <v>29.666666666666668</v>
      </c>
    </row>
    <row r="23" spans="2:23" ht="23.25" customHeight="1" x14ac:dyDescent="0.45">
      <c r="B23" s="118" t="s">
        <v>50</v>
      </c>
      <c r="C23" s="31">
        <v>23</v>
      </c>
      <c r="D23" s="31">
        <v>3</v>
      </c>
      <c r="E23" s="32">
        <v>16.715694444444445</v>
      </c>
      <c r="F23" s="32">
        <v>15.250370370370369</v>
      </c>
      <c r="G23" s="32">
        <v>21.756666666666664</v>
      </c>
      <c r="H23" s="51">
        <v>-6.916666666666667</v>
      </c>
      <c r="J23" s="152"/>
      <c r="K23" s="162">
        <f t="shared" si="21"/>
        <v>23</v>
      </c>
      <c r="L23" s="165">
        <f t="shared" si="2"/>
        <v>-20.75</v>
      </c>
      <c r="M23" s="164">
        <f t="shared" si="5"/>
        <v>384.46097222222221</v>
      </c>
      <c r="N23" s="164">
        <f t="shared" si="22"/>
        <v>350.75851851851849</v>
      </c>
      <c r="O23" s="164">
        <f t="shared" si="22"/>
        <v>500.40333333333325</v>
      </c>
      <c r="P23" s="164">
        <f t="shared" si="22"/>
        <v>-159.08333333333334</v>
      </c>
      <c r="Q23" s="152"/>
      <c r="R23" s="22"/>
      <c r="S23" s="22"/>
      <c r="T23" s="22"/>
      <c r="U23" s="22"/>
      <c r="W23" s="153">
        <f t="shared" si="3"/>
        <v>21.756666666666664</v>
      </c>
    </row>
    <row r="24" spans="2:23" ht="23.25" customHeight="1" x14ac:dyDescent="0.45">
      <c r="B24" s="118" t="s">
        <v>49</v>
      </c>
      <c r="C24" s="31">
        <v>17</v>
      </c>
      <c r="D24" s="31">
        <v>3</v>
      </c>
      <c r="E24" s="32">
        <f>(18.13+15.16+13.43)/3</f>
        <v>15.573333333333332</v>
      </c>
      <c r="F24" s="32">
        <f>(15.96+15.08+9.75)/3</f>
        <v>13.596666666666666</v>
      </c>
      <c r="G24" s="32">
        <f>(25+17.51+10.3)/3</f>
        <v>17.603333333333335</v>
      </c>
      <c r="H24" s="51">
        <f>(-10.55-3.06+4.15)/3</f>
        <v>-3.1533333333333338</v>
      </c>
      <c r="J24" s="152"/>
      <c r="K24" s="162">
        <f t="shared" si="21"/>
        <v>17</v>
      </c>
      <c r="L24" s="165">
        <f t="shared" si="2"/>
        <v>-9.4600000000000009</v>
      </c>
      <c r="M24" s="164">
        <f t="shared" si="5"/>
        <v>264.74666666666667</v>
      </c>
      <c r="N24" s="164">
        <f t="shared" ref="N24:P26" si="23">$C24*F24</f>
        <v>231.14333333333332</v>
      </c>
      <c r="O24" s="164">
        <f t="shared" si="23"/>
        <v>299.25666666666672</v>
      </c>
      <c r="P24" s="164">
        <f t="shared" si="23"/>
        <v>-53.606666666666676</v>
      </c>
      <c r="Q24" s="152"/>
      <c r="R24" s="22"/>
      <c r="S24" s="22"/>
      <c r="T24" s="22"/>
      <c r="U24" s="22"/>
      <c r="W24" s="153">
        <f t="shared" si="3"/>
        <v>17.603333333333335</v>
      </c>
    </row>
    <row r="25" spans="2:23" ht="23.25" customHeight="1" x14ac:dyDescent="0.45">
      <c r="B25" s="118" t="s">
        <v>43</v>
      </c>
      <c r="C25" s="31">
        <v>16</v>
      </c>
      <c r="D25" s="31">
        <v>2</v>
      </c>
      <c r="E25" s="32">
        <f>(17+16.09)/2</f>
        <v>16.545000000000002</v>
      </c>
      <c r="F25" s="32">
        <f>(15.42+13.98)/2</f>
        <v>14.7</v>
      </c>
      <c r="G25" s="32">
        <f>(20.5+29.64)/2</f>
        <v>25.07</v>
      </c>
      <c r="H25" s="51">
        <f>-(15.19+6.05)/2</f>
        <v>-10.62</v>
      </c>
      <c r="J25" s="152"/>
      <c r="K25" s="162">
        <f t="shared" si="21"/>
        <v>16</v>
      </c>
      <c r="L25" s="165">
        <f t="shared" si="2"/>
        <v>-21.24</v>
      </c>
      <c r="M25" s="164">
        <f t="shared" si="5"/>
        <v>264.72000000000003</v>
      </c>
      <c r="N25" s="164">
        <f t="shared" si="23"/>
        <v>235.2</v>
      </c>
      <c r="O25" s="164">
        <f t="shared" si="23"/>
        <v>401.12</v>
      </c>
      <c r="P25" s="164">
        <f t="shared" si="23"/>
        <v>-169.92</v>
      </c>
      <c r="Q25" s="152"/>
      <c r="R25" s="22"/>
      <c r="S25" s="22"/>
      <c r="T25" s="22"/>
      <c r="U25" s="22"/>
      <c r="W25" s="153">
        <f t="shared" si="3"/>
        <v>25.07</v>
      </c>
    </row>
    <row r="26" spans="2:23" ht="23.25" customHeight="1" x14ac:dyDescent="0.45">
      <c r="B26" s="118" t="s">
        <v>44</v>
      </c>
      <c r="C26" s="31">
        <v>16</v>
      </c>
      <c r="D26" s="31">
        <v>2</v>
      </c>
      <c r="E26" s="32">
        <v>18.396249999999998</v>
      </c>
      <c r="F26" s="32">
        <v>16.399999999999999</v>
      </c>
      <c r="G26" s="32">
        <v>26.56</v>
      </c>
      <c r="H26" s="51">
        <v>-12.11</v>
      </c>
      <c r="J26" s="152"/>
      <c r="K26" s="162">
        <f t="shared" si="21"/>
        <v>16</v>
      </c>
      <c r="L26" s="165">
        <f t="shared" si="2"/>
        <v>-24.22</v>
      </c>
      <c r="M26" s="164">
        <f t="shared" ref="M26:M31" si="24">C26*E26</f>
        <v>294.33999999999997</v>
      </c>
      <c r="N26" s="164">
        <f t="shared" si="23"/>
        <v>262.39999999999998</v>
      </c>
      <c r="O26" s="164">
        <f t="shared" si="23"/>
        <v>424.96</v>
      </c>
      <c r="P26" s="164">
        <f t="shared" si="23"/>
        <v>-193.76</v>
      </c>
      <c r="Q26" s="152"/>
      <c r="W26" s="153">
        <f t="shared" si="3"/>
        <v>26.56</v>
      </c>
    </row>
    <row r="27" spans="2:23" ht="23.4" x14ac:dyDescent="0.45">
      <c r="B27" s="121" t="s">
        <v>51</v>
      </c>
      <c r="C27" s="31">
        <v>24</v>
      </c>
      <c r="D27" s="31">
        <v>2</v>
      </c>
      <c r="E27" s="32">
        <v>17.237083333333334</v>
      </c>
      <c r="F27" s="32">
        <v>14.454583333333334</v>
      </c>
      <c r="G27" s="32">
        <v>25.5</v>
      </c>
      <c r="H27" s="51">
        <v>-11.05</v>
      </c>
      <c r="J27" s="152"/>
      <c r="K27" s="162">
        <f t="shared" si="21"/>
        <v>24</v>
      </c>
      <c r="L27" s="165">
        <f t="shared" si="2"/>
        <v>-22.1</v>
      </c>
      <c r="M27" s="164">
        <f t="shared" si="24"/>
        <v>413.69000000000005</v>
      </c>
      <c r="N27" s="164">
        <f>C27*F27</f>
        <v>346.91</v>
      </c>
      <c r="O27" s="164">
        <f t="shared" ref="O27:P31" si="25">$C27*G27</f>
        <v>612</v>
      </c>
      <c r="P27" s="164">
        <f t="shared" si="25"/>
        <v>-265.20000000000005</v>
      </c>
      <c r="Q27" s="152"/>
      <c r="W27" s="153">
        <f t="shared" si="3"/>
        <v>25.5</v>
      </c>
    </row>
    <row r="28" spans="2:23" ht="23.4" x14ac:dyDescent="0.45">
      <c r="B28" s="121" t="s">
        <v>33</v>
      </c>
      <c r="C28" s="31">
        <v>7</v>
      </c>
      <c r="D28" s="31">
        <v>2</v>
      </c>
      <c r="E28" s="32">
        <v>16.887499999999999</v>
      </c>
      <c r="F28" s="32">
        <v>15.582916666666666</v>
      </c>
      <c r="G28" s="32">
        <v>20.25</v>
      </c>
      <c r="H28" s="51">
        <v>-5.78</v>
      </c>
      <c r="J28" s="152"/>
      <c r="K28" s="162">
        <f t="shared" si="21"/>
        <v>7</v>
      </c>
      <c r="L28" s="165">
        <f t="shared" si="2"/>
        <v>-11.56</v>
      </c>
      <c r="M28" s="164">
        <f t="shared" si="24"/>
        <v>118.21249999999999</v>
      </c>
      <c r="N28" s="164">
        <f>C28*F28</f>
        <v>109.08041666666666</v>
      </c>
      <c r="O28" s="164">
        <f t="shared" si="25"/>
        <v>141.75</v>
      </c>
      <c r="P28" s="164">
        <f t="shared" si="25"/>
        <v>-40.46</v>
      </c>
      <c r="Q28" s="152"/>
      <c r="W28" s="153">
        <f t="shared" si="3"/>
        <v>20.25</v>
      </c>
    </row>
    <row r="29" spans="2:23" ht="24" thickBot="1" x14ac:dyDescent="0.5">
      <c r="B29" s="121" t="s">
        <v>34</v>
      </c>
      <c r="C29" s="47">
        <v>35</v>
      </c>
      <c r="D29" s="47">
        <v>5</v>
      </c>
      <c r="E29" s="48">
        <v>17.701109325396828</v>
      </c>
      <c r="F29" s="48">
        <v>14.08009226190476</v>
      </c>
      <c r="G29" s="48">
        <v>20.030433333333335</v>
      </c>
      <c r="H29" s="52">
        <v>-9.5649999999999995</v>
      </c>
      <c r="J29" s="152"/>
      <c r="K29" s="162">
        <f t="shared" si="21"/>
        <v>35</v>
      </c>
      <c r="L29" s="165">
        <f t="shared" si="2"/>
        <v>-47.824999999999996</v>
      </c>
      <c r="M29" s="164">
        <f t="shared" si="24"/>
        <v>619.53882638888899</v>
      </c>
      <c r="N29" s="164">
        <f>C29*F29</f>
        <v>492.8032291666666</v>
      </c>
      <c r="O29" s="164">
        <f t="shared" si="25"/>
        <v>701.06516666666676</v>
      </c>
      <c r="P29" s="164">
        <f t="shared" si="25"/>
        <v>-334.77499999999998</v>
      </c>
      <c r="Q29" s="152"/>
      <c r="W29" s="153">
        <f t="shared" si="3"/>
        <v>20.030433333333335</v>
      </c>
    </row>
    <row r="30" spans="2:23" ht="23.4" hidden="1" x14ac:dyDescent="0.45">
      <c r="B30" s="121"/>
      <c r="C30" s="45"/>
      <c r="D30" s="45"/>
      <c r="E30" s="46"/>
      <c r="F30" s="46"/>
      <c r="G30" s="46"/>
      <c r="H30" s="53"/>
      <c r="J30" s="152"/>
      <c r="K30" s="162">
        <v>1</v>
      </c>
      <c r="L30" s="165">
        <f>K30*H30</f>
        <v>0</v>
      </c>
      <c r="M30" s="166">
        <f t="shared" si="24"/>
        <v>0</v>
      </c>
      <c r="N30" s="164">
        <f>C30*F30</f>
        <v>0</v>
      </c>
      <c r="O30" s="164">
        <f t="shared" si="25"/>
        <v>0</v>
      </c>
      <c r="P30" s="164">
        <f t="shared" si="25"/>
        <v>0</v>
      </c>
      <c r="Q30" s="152"/>
      <c r="W30" s="153" t="str">
        <f t="shared" si="3"/>
        <v/>
      </c>
    </row>
    <row r="31" spans="2:23" ht="23.4" hidden="1" x14ac:dyDescent="0.45">
      <c r="B31" s="121"/>
      <c r="C31" s="31"/>
      <c r="D31" s="31"/>
      <c r="E31" s="32"/>
      <c r="F31" s="32"/>
      <c r="G31" s="32"/>
      <c r="H31" s="51"/>
      <c r="J31" s="152"/>
      <c r="K31" s="162">
        <v>1</v>
      </c>
      <c r="L31" s="165">
        <f>K31*H31</f>
        <v>0</v>
      </c>
      <c r="M31" s="164">
        <f t="shared" si="24"/>
        <v>0</v>
      </c>
      <c r="N31" s="164">
        <f>C31*F31</f>
        <v>0</v>
      </c>
      <c r="O31" s="164">
        <f t="shared" si="25"/>
        <v>0</v>
      </c>
      <c r="P31" s="164">
        <f t="shared" si="25"/>
        <v>0</v>
      </c>
      <c r="Q31" s="152"/>
      <c r="W31" s="153" t="str">
        <f t="shared" si="3"/>
        <v/>
      </c>
    </row>
    <row r="32" spans="2:23" ht="23.4" x14ac:dyDescent="0.45">
      <c r="B32" s="121" t="s">
        <v>27</v>
      </c>
      <c r="C32" s="27">
        <f>SUM(C4:C31)</f>
        <v>369</v>
      </c>
      <c r="D32" s="27">
        <f>SUM(D4:D31)</f>
        <v>48</v>
      </c>
      <c r="E32" s="109">
        <f>M32/$K32</f>
        <v>16.7064816279151</v>
      </c>
      <c r="F32" s="16">
        <f>N32/$K32</f>
        <v>14.720099059915592</v>
      </c>
      <c r="G32" s="16">
        <f>O32/$K32</f>
        <v>22.448457640925383</v>
      </c>
      <c r="H32" s="54">
        <f>P32/$K32</f>
        <v>-9.3561990876507011</v>
      </c>
      <c r="J32" s="152"/>
      <c r="K32" s="162">
        <f>SUM(K7:K29)</f>
        <v>341</v>
      </c>
      <c r="L32" s="165">
        <f>SUM(L7:L31)</f>
        <v>-426.5547619047619</v>
      </c>
      <c r="M32" s="167">
        <f>SUM(M7:M31)</f>
        <v>5696.9102351190486</v>
      </c>
      <c r="N32" s="167">
        <f>SUM(N7:N31)</f>
        <v>5019.5537794312168</v>
      </c>
      <c r="O32" s="167">
        <f>SUM(O7:O31)</f>
        <v>7654.9240555555552</v>
      </c>
      <c r="P32" s="167">
        <f>SUM(P7:P31)</f>
        <v>-3190.463888888889</v>
      </c>
      <c r="Q32" s="152"/>
      <c r="W32" s="153">
        <f t="shared" si="3"/>
        <v>22.448457640925383</v>
      </c>
    </row>
    <row r="33" spans="2:23" ht="24" thickBot="1" x14ac:dyDescent="0.5">
      <c r="B33" s="122" t="s">
        <v>36</v>
      </c>
      <c r="C33" s="55"/>
      <c r="D33" s="55"/>
      <c r="E33" s="56"/>
      <c r="F33" s="56"/>
      <c r="G33" s="56"/>
      <c r="H33" s="57">
        <f>L32</f>
        <v>-426.5547619047619</v>
      </c>
      <c r="J33" s="152"/>
      <c r="K33" s="152"/>
      <c r="L33" s="152"/>
      <c r="M33" s="154"/>
      <c r="N33" s="154"/>
      <c r="O33" s="154"/>
      <c r="P33" s="154"/>
      <c r="Q33" s="152"/>
      <c r="W33" s="153" t="str">
        <f t="shared" si="3"/>
        <v/>
      </c>
    </row>
    <row r="34" spans="2:23" ht="24" thickTop="1" x14ac:dyDescent="0.45">
      <c r="B34" s="69" t="s">
        <v>26</v>
      </c>
      <c r="C34" s="69"/>
      <c r="D34" s="8">
        <f>I57</f>
        <v>14.84</v>
      </c>
      <c r="W34" s="153"/>
    </row>
    <row r="36" spans="2:23" x14ac:dyDescent="0.25">
      <c r="E36" s="26"/>
    </row>
    <row r="37" spans="2:23" x14ac:dyDescent="0.25">
      <c r="B37" t="s">
        <v>71</v>
      </c>
      <c r="C37">
        <v>72525</v>
      </c>
    </row>
    <row r="38" spans="2:23" x14ac:dyDescent="0.25">
      <c r="B38" t="s">
        <v>72</v>
      </c>
      <c r="C38">
        <v>57</v>
      </c>
      <c r="D38" s="70">
        <f>C38/C37</f>
        <v>7.8593588417786968E-4</v>
      </c>
    </row>
    <row r="39" spans="2:23" x14ac:dyDescent="0.25">
      <c r="B39" t="s">
        <v>73</v>
      </c>
      <c r="C39">
        <v>72468</v>
      </c>
      <c r="D39" s="70">
        <f>C39/C37</f>
        <v>0.99921406411582214</v>
      </c>
      <c r="G39" s="26">
        <f>MAX(G4:G29)</f>
        <v>70</v>
      </c>
    </row>
    <row r="40" spans="2:23" x14ac:dyDescent="0.25">
      <c r="G40" s="26">
        <f>MIN(W4:W32)</f>
        <v>7.07</v>
      </c>
    </row>
    <row r="49" spans="2:9" ht="42.6" thickBot="1" x14ac:dyDescent="0.9">
      <c r="B49" s="63" t="s">
        <v>88</v>
      </c>
      <c r="C49" s="1"/>
      <c r="D49" s="1"/>
      <c r="E49" s="1"/>
      <c r="F49" s="1"/>
      <c r="G49" s="1"/>
      <c r="H49" s="1"/>
      <c r="I49" s="1"/>
    </row>
    <row r="50" spans="2:9" ht="23.4" x14ac:dyDescent="0.45">
      <c r="B50" s="123"/>
      <c r="C50" s="128" t="s">
        <v>9</v>
      </c>
      <c r="D50" s="129"/>
      <c r="E50" s="128" t="s">
        <v>10</v>
      </c>
      <c r="F50" s="129"/>
      <c r="G50" s="130"/>
      <c r="H50" s="131" t="s">
        <v>41</v>
      </c>
      <c r="I50" s="132" t="s">
        <v>11</v>
      </c>
    </row>
    <row r="51" spans="2:9" ht="23.4" x14ac:dyDescent="0.45">
      <c r="B51" s="124"/>
      <c r="C51" s="133" t="s">
        <v>7</v>
      </c>
      <c r="D51" s="133" t="s">
        <v>0</v>
      </c>
      <c r="E51" s="133" t="s">
        <v>1</v>
      </c>
      <c r="F51" s="133" t="s">
        <v>106</v>
      </c>
      <c r="G51" s="133" t="s">
        <v>0</v>
      </c>
      <c r="H51" s="134" t="s">
        <v>6</v>
      </c>
      <c r="I51" s="135" t="s">
        <v>6</v>
      </c>
    </row>
    <row r="52" spans="2:9" ht="23.4" x14ac:dyDescent="0.45">
      <c r="B52" s="125" t="s">
        <v>8</v>
      </c>
      <c r="C52" s="19"/>
      <c r="D52" s="19"/>
      <c r="E52" s="58">
        <v>5.4</v>
      </c>
      <c r="F52" s="20">
        <f>SUM(F54:F57)</f>
        <v>1</v>
      </c>
      <c r="G52" s="19">
        <v>500</v>
      </c>
      <c r="H52" s="5"/>
      <c r="I52" s="98"/>
    </row>
    <row r="53" spans="2:9" ht="23.4" x14ac:dyDescent="0.45">
      <c r="B53" s="126"/>
      <c r="C53" s="19"/>
      <c r="D53" s="19"/>
      <c r="E53" s="58"/>
      <c r="F53" s="20"/>
      <c r="G53" s="19"/>
      <c r="H53" s="3"/>
      <c r="I53" s="98"/>
    </row>
    <row r="54" spans="2:9" ht="23.4" x14ac:dyDescent="0.45">
      <c r="B54" s="125" t="s">
        <v>2</v>
      </c>
      <c r="C54" s="22">
        <v>2</v>
      </c>
      <c r="D54" s="19">
        <v>9</v>
      </c>
      <c r="E54" s="58">
        <v>0.25</v>
      </c>
      <c r="F54" s="20">
        <f>E54/E$52</f>
        <v>4.6296296296296294E-2</v>
      </c>
      <c r="G54" s="21">
        <f>F54*G$52</f>
        <v>23.148148148148145</v>
      </c>
      <c r="H54" s="10">
        <f>G54/D54*C54</f>
        <v>5.144032921810699</v>
      </c>
      <c r="I54" s="99">
        <v>5.25</v>
      </c>
    </row>
    <row r="55" spans="2:9" ht="23.4" x14ac:dyDescent="0.45">
      <c r="B55" s="125" t="s">
        <v>3</v>
      </c>
      <c r="C55" s="22">
        <v>0.5</v>
      </c>
      <c r="D55" s="19">
        <v>12</v>
      </c>
      <c r="E55" s="58">
        <v>1.5</v>
      </c>
      <c r="F55" s="20">
        <f>E55/E$52</f>
        <v>0.27777777777777773</v>
      </c>
      <c r="G55" s="21">
        <f>F55*G$52</f>
        <v>138.88888888888886</v>
      </c>
      <c r="H55" s="10">
        <f>G55/D55*C55</f>
        <v>5.7870370370370354</v>
      </c>
      <c r="I55" s="99">
        <v>6.05</v>
      </c>
    </row>
    <row r="56" spans="2:9" ht="23.4" x14ac:dyDescent="0.45">
      <c r="B56" s="125" t="s">
        <v>4</v>
      </c>
      <c r="C56" s="22">
        <v>0.25</v>
      </c>
      <c r="D56" s="19">
        <v>20</v>
      </c>
      <c r="E56" s="58">
        <v>3</v>
      </c>
      <c r="F56" s="20">
        <f>E56/E$52</f>
        <v>0.55555555555555547</v>
      </c>
      <c r="G56" s="21">
        <f>F56*G$52</f>
        <v>277.77777777777771</v>
      </c>
      <c r="H56" s="10">
        <f>G56/D56*C56</f>
        <v>3.4722222222222214</v>
      </c>
      <c r="I56" s="99">
        <v>3.54</v>
      </c>
    </row>
    <row r="57" spans="2:9" ht="24" thickBot="1" x14ac:dyDescent="0.5">
      <c r="B57" s="127" t="s">
        <v>5</v>
      </c>
      <c r="C57" s="100">
        <v>0</v>
      </c>
      <c r="D57" s="100"/>
      <c r="E57" s="101">
        <f>E52-E54-E55-E56</f>
        <v>0.65000000000000036</v>
      </c>
      <c r="F57" s="102">
        <f>E57/E$52</f>
        <v>0.12037037037037043</v>
      </c>
      <c r="G57" s="103">
        <f>F57*G$52</f>
        <v>60.185185185185219</v>
      </c>
      <c r="H57" s="104">
        <f>SUM(H54:H56)</f>
        <v>14.403292181069956</v>
      </c>
      <c r="I57" s="105">
        <f>SUM(I54:I56)</f>
        <v>14.84</v>
      </c>
    </row>
    <row r="58" spans="2:9" ht="23.4" x14ac:dyDescent="0.45">
      <c r="B58" s="19"/>
      <c r="C58" s="19"/>
      <c r="D58" s="19"/>
      <c r="E58" s="62"/>
      <c r="F58" s="20"/>
      <c r="G58" s="21"/>
      <c r="H58" s="22"/>
      <c r="I58" s="22"/>
    </row>
    <row r="59" spans="2:9" ht="23.4" x14ac:dyDescent="0.45">
      <c r="B59" s="19"/>
      <c r="C59" s="19"/>
      <c r="D59" s="19"/>
      <c r="E59" s="62"/>
      <c r="F59" s="20"/>
      <c r="G59" s="21"/>
      <c r="H59" s="22"/>
      <c r="I59" s="22"/>
    </row>
    <row r="60" spans="2:9" ht="23.4" x14ac:dyDescent="0.45">
      <c r="B60" s="19"/>
      <c r="C60" s="19"/>
      <c r="D60" s="19"/>
      <c r="E60" s="62"/>
      <c r="F60" s="20"/>
      <c r="G60" s="21"/>
      <c r="H60" s="22"/>
      <c r="I60" s="22"/>
    </row>
    <row r="61" spans="2:9" ht="23.4" x14ac:dyDescent="0.45">
      <c r="B61" s="19"/>
      <c r="C61" s="19"/>
      <c r="D61" s="19"/>
      <c r="E61" s="62"/>
      <c r="F61" s="20"/>
      <c r="G61" s="21"/>
      <c r="H61" s="22"/>
      <c r="I61" s="22"/>
    </row>
    <row r="62" spans="2:9" ht="23.4" x14ac:dyDescent="0.45">
      <c r="B62" s="19"/>
      <c r="C62" s="19"/>
      <c r="D62" s="19"/>
      <c r="E62" s="62"/>
      <c r="F62" s="20"/>
      <c r="G62" s="21"/>
      <c r="H62" s="22"/>
      <c r="I62" s="22"/>
    </row>
    <row r="63" spans="2:9" ht="23.4" x14ac:dyDescent="0.45">
      <c r="B63" s="19"/>
      <c r="C63" s="19"/>
      <c r="D63" s="19"/>
      <c r="E63" s="62"/>
      <c r="F63" s="20"/>
      <c r="G63" s="21"/>
      <c r="H63" s="22"/>
      <c r="I63" s="22"/>
    </row>
    <row r="64" spans="2:9" ht="23.4" x14ac:dyDescent="0.45">
      <c r="B64" s="19"/>
      <c r="C64" s="19"/>
      <c r="D64" s="19"/>
      <c r="E64" s="62"/>
      <c r="F64" s="20"/>
      <c r="G64" s="21"/>
      <c r="H64" s="22"/>
      <c r="I64" s="22"/>
    </row>
    <row r="65" spans="2:9" ht="23.4" x14ac:dyDescent="0.45">
      <c r="B65" s="19"/>
      <c r="C65" s="19"/>
      <c r="D65" s="19"/>
      <c r="E65" s="62"/>
      <c r="F65" s="20"/>
      <c r="G65" s="21"/>
      <c r="H65" s="22"/>
      <c r="I65" s="22"/>
    </row>
    <row r="66" spans="2:9" ht="23.4" x14ac:dyDescent="0.45">
      <c r="B66" s="19"/>
      <c r="C66" s="8"/>
      <c r="D66" s="2"/>
      <c r="E66" s="62"/>
      <c r="F66" s="20"/>
      <c r="G66" s="21"/>
      <c r="H66" s="22"/>
      <c r="I66" s="22"/>
    </row>
    <row r="67" spans="2:9" ht="23.4" x14ac:dyDescent="0.45">
      <c r="B67" s="19"/>
      <c r="C67" s="8"/>
      <c r="D67" s="2"/>
      <c r="E67" s="62"/>
      <c r="F67" s="20"/>
      <c r="G67" s="21"/>
      <c r="H67" s="22"/>
      <c r="I67" s="22"/>
    </row>
    <row r="68" spans="2:9" ht="23.4" x14ac:dyDescent="0.45">
      <c r="B68" s="19"/>
      <c r="C68" s="8"/>
      <c r="D68" s="2"/>
      <c r="E68" s="19"/>
      <c r="F68" s="20"/>
      <c r="G68" s="21"/>
      <c r="H68" s="22"/>
      <c r="I68" s="22"/>
    </row>
    <row r="70" spans="2:9" ht="35.4" thickBot="1" x14ac:dyDescent="0.6">
      <c r="B70" s="18" t="s">
        <v>64</v>
      </c>
      <c r="C70" s="1"/>
      <c r="D70" s="1"/>
      <c r="E70" s="1"/>
      <c r="F70" s="1"/>
      <c r="G70" s="1"/>
      <c r="H70" s="1"/>
      <c r="I70" s="1"/>
    </row>
    <row r="71" spans="2:9" ht="23.4" x14ac:dyDescent="0.45">
      <c r="B71" s="136"/>
      <c r="C71" s="140" t="s">
        <v>52</v>
      </c>
      <c r="D71" s="140" t="s">
        <v>53</v>
      </c>
      <c r="E71" s="140" t="s">
        <v>54</v>
      </c>
      <c r="F71" s="140" t="s">
        <v>55</v>
      </c>
      <c r="G71" s="140" t="s">
        <v>56</v>
      </c>
      <c r="H71" s="140" t="s">
        <v>57</v>
      </c>
      <c r="I71" s="141" t="s">
        <v>58</v>
      </c>
    </row>
    <row r="72" spans="2:9" ht="23.4" x14ac:dyDescent="0.45">
      <c r="B72" s="137" t="s">
        <v>8</v>
      </c>
      <c r="C72" s="58">
        <v>5.45</v>
      </c>
      <c r="D72" s="58">
        <v>5.4</v>
      </c>
      <c r="E72" s="58">
        <v>5.35</v>
      </c>
      <c r="F72" s="58">
        <v>5.45</v>
      </c>
      <c r="G72" s="58">
        <v>5.35</v>
      </c>
      <c r="H72" s="58">
        <v>5.35</v>
      </c>
      <c r="I72" s="81">
        <v>5.4</v>
      </c>
    </row>
    <row r="73" spans="2:9" ht="23.4" x14ac:dyDescent="0.45">
      <c r="B73" s="138"/>
      <c r="C73" s="58"/>
      <c r="D73" s="58"/>
      <c r="E73" s="58"/>
      <c r="F73" s="58"/>
      <c r="G73" s="58"/>
      <c r="H73" s="58"/>
      <c r="I73" s="81"/>
    </row>
    <row r="74" spans="2:9" ht="23.4" x14ac:dyDescent="0.45">
      <c r="B74" s="137" t="s">
        <v>2</v>
      </c>
      <c r="C74" s="58">
        <v>0.2</v>
      </c>
      <c r="D74" s="58">
        <v>0.25</v>
      </c>
      <c r="E74" s="58">
        <v>0.3</v>
      </c>
      <c r="F74" s="58">
        <v>0.3</v>
      </c>
      <c r="G74" s="58">
        <v>0.2</v>
      </c>
      <c r="H74" s="58">
        <v>0.25</v>
      </c>
      <c r="I74" s="81">
        <v>0.25</v>
      </c>
    </row>
    <row r="75" spans="2:9" ht="23.4" x14ac:dyDescent="0.45">
      <c r="B75" s="137" t="s">
        <v>3</v>
      </c>
      <c r="C75" s="58">
        <v>1.4</v>
      </c>
      <c r="D75" s="58">
        <v>1.5</v>
      </c>
      <c r="E75" s="58">
        <v>1.6</v>
      </c>
      <c r="F75" s="58">
        <v>1.6</v>
      </c>
      <c r="G75" s="58">
        <v>1.4</v>
      </c>
      <c r="H75" s="58">
        <v>1.6</v>
      </c>
      <c r="I75" s="81">
        <v>1.5</v>
      </c>
    </row>
    <row r="76" spans="2:9" ht="23.4" x14ac:dyDescent="0.45">
      <c r="B76" s="137" t="s">
        <v>4</v>
      </c>
      <c r="C76" s="58">
        <v>3.25</v>
      </c>
      <c r="D76" s="58">
        <v>3</v>
      </c>
      <c r="E76" s="58">
        <v>3</v>
      </c>
      <c r="F76" s="58">
        <v>2.75</v>
      </c>
      <c r="G76" s="58">
        <v>3.25</v>
      </c>
      <c r="H76" s="58">
        <v>3</v>
      </c>
      <c r="I76" s="81">
        <v>3.2</v>
      </c>
    </row>
    <row r="77" spans="2:9" ht="23.4" x14ac:dyDescent="0.45">
      <c r="B77" s="137" t="s">
        <v>5</v>
      </c>
      <c r="C77" s="59">
        <f>C72-C74-C75-C76</f>
        <v>0.60000000000000009</v>
      </c>
      <c r="D77" s="59">
        <f t="shared" ref="D77:I77" si="26">D72-D74-D75-D76</f>
        <v>0.65000000000000036</v>
      </c>
      <c r="E77" s="59">
        <f t="shared" si="26"/>
        <v>0.44999999999999973</v>
      </c>
      <c r="F77" s="59">
        <f t="shared" si="26"/>
        <v>0.80000000000000027</v>
      </c>
      <c r="G77" s="59">
        <f t="shared" si="26"/>
        <v>0.49999999999999956</v>
      </c>
      <c r="H77" s="59">
        <f t="shared" si="26"/>
        <v>0.49999999999999956</v>
      </c>
      <c r="I77" s="82">
        <f t="shared" si="26"/>
        <v>0.45000000000000018</v>
      </c>
    </row>
    <row r="78" spans="2:9" ht="23.4" x14ac:dyDescent="0.45">
      <c r="B78" s="137" t="s">
        <v>62</v>
      </c>
      <c r="C78" s="60">
        <f>(C74/C72*$G$52)/$D$54*$C$54+(C75/C72*$G$52)/$D$55*$C$55+(C76/C72*$G$52)/$D$56*$C$56</f>
        <v>13.156218144750254</v>
      </c>
      <c r="D78" s="60">
        <f t="shared" ref="D78:I78" si="27">(D74/D72*$G$52)/$D$54*$C$54+(D75/D72*$G$52)/$D$55*$C$55+(D76/D72*$G$52)/$D$56*$C$56</f>
        <v>14.403292181069956</v>
      </c>
      <c r="E78" s="60">
        <f t="shared" si="27"/>
        <v>15.965732087227416</v>
      </c>
      <c r="F78" s="60">
        <f t="shared" si="27"/>
        <v>15.386085626911315</v>
      </c>
      <c r="G78" s="60">
        <f t="shared" si="27"/>
        <v>13.402128764278297</v>
      </c>
      <c r="H78" s="60">
        <f t="shared" si="27"/>
        <v>14.927310488058154</v>
      </c>
      <c r="I78" s="83">
        <f t="shared" si="27"/>
        <v>14.634773662551439</v>
      </c>
    </row>
    <row r="79" spans="2:9" ht="23.4" x14ac:dyDescent="0.45">
      <c r="B79" s="137" t="s">
        <v>59</v>
      </c>
      <c r="C79" s="61">
        <f>AVERAGE(C78:I78)</f>
        <v>14.553648707835261</v>
      </c>
      <c r="D79" s="84"/>
      <c r="E79" s="84"/>
      <c r="F79" s="84"/>
      <c r="G79" s="84"/>
      <c r="H79" s="84"/>
      <c r="I79" s="85"/>
    </row>
    <row r="80" spans="2:9" ht="27" x14ac:dyDescent="0.6">
      <c r="B80" s="137" t="s">
        <v>63</v>
      </c>
      <c r="C80" s="61">
        <f>STDEV(C78:I78)</f>
        <v>1.0111505429515992</v>
      </c>
      <c r="D80" s="67" t="s">
        <v>70</v>
      </c>
      <c r="E80" s="68">
        <v>2.4470000000000001</v>
      </c>
      <c r="F80" s="84"/>
      <c r="G80" s="84"/>
      <c r="H80" s="84"/>
      <c r="I80" s="85"/>
    </row>
    <row r="81" spans="2:9" ht="23.4" x14ac:dyDescent="0.45">
      <c r="B81" s="137" t="s">
        <v>60</v>
      </c>
      <c r="C81" s="61">
        <f>C79+(E80*C80)/SQRT(7)</f>
        <v>15.488840677033215</v>
      </c>
      <c r="D81" s="86" t="s">
        <v>68</v>
      </c>
      <c r="E81" s="84"/>
      <c r="F81" s="84"/>
      <c r="G81" s="84"/>
      <c r="H81" s="84"/>
      <c r="I81" s="85"/>
    </row>
    <row r="82" spans="2:9" ht="24" thickBot="1" x14ac:dyDescent="0.5">
      <c r="B82" s="139" t="s">
        <v>61</v>
      </c>
      <c r="C82" s="87">
        <f>C79-(E80*C80)/SQRT(7)</f>
        <v>13.618456738637308</v>
      </c>
      <c r="D82" s="88" t="s">
        <v>69</v>
      </c>
      <c r="E82" s="89"/>
      <c r="F82" s="89"/>
      <c r="G82" s="89"/>
      <c r="H82" s="89"/>
      <c r="I82" s="90"/>
    </row>
    <row r="84" spans="2:9" x14ac:dyDescent="0.25">
      <c r="C84" s="26"/>
    </row>
    <row r="85" spans="2:9" x14ac:dyDescent="0.25">
      <c r="C85" s="26"/>
    </row>
    <row r="96" spans="2:9" ht="42" x14ac:dyDescent="0.85">
      <c r="B96" s="63" t="s">
        <v>85</v>
      </c>
      <c r="C96" s="1"/>
      <c r="D96" s="1"/>
      <c r="E96" s="1"/>
      <c r="F96" s="1"/>
      <c r="G96" s="1"/>
      <c r="H96" s="1"/>
      <c r="I96" s="1"/>
    </row>
    <row r="97" spans="2:9" ht="23.4" x14ac:dyDescent="0.45">
      <c r="B97" s="142"/>
      <c r="C97" s="143" t="s">
        <v>9</v>
      </c>
      <c r="D97" s="144"/>
      <c r="E97" s="143" t="s">
        <v>10</v>
      </c>
      <c r="F97" s="145"/>
      <c r="G97" s="146"/>
      <c r="H97" s="147" t="s">
        <v>41</v>
      </c>
      <c r="I97" s="147" t="s">
        <v>11</v>
      </c>
    </row>
    <row r="98" spans="2:9" ht="23.4" x14ac:dyDescent="0.45">
      <c r="B98" s="142"/>
      <c r="C98" s="148" t="s">
        <v>75</v>
      </c>
      <c r="D98" s="133" t="s">
        <v>0</v>
      </c>
      <c r="E98" s="133" t="s">
        <v>76</v>
      </c>
      <c r="F98" s="133" t="s">
        <v>77</v>
      </c>
      <c r="G98" s="133" t="s">
        <v>0</v>
      </c>
      <c r="H98" s="134" t="s">
        <v>6</v>
      </c>
      <c r="I98" s="134" t="s">
        <v>6</v>
      </c>
    </row>
    <row r="99" spans="2:9" ht="23.4" x14ac:dyDescent="0.45">
      <c r="B99" s="149" t="s">
        <v>8</v>
      </c>
      <c r="C99" s="2"/>
      <c r="D99" s="2"/>
      <c r="E99" s="58">
        <v>8</v>
      </c>
      <c r="F99" s="4">
        <f>SUM(F101:F104)</f>
        <v>1</v>
      </c>
      <c r="G99" s="2">
        <v>200</v>
      </c>
      <c r="H99" s="5"/>
      <c r="I99" s="6"/>
    </row>
    <row r="100" spans="2:9" ht="23.4" x14ac:dyDescent="0.45">
      <c r="B100" s="150"/>
      <c r="C100" s="2"/>
      <c r="D100" s="2"/>
      <c r="E100" s="58"/>
      <c r="F100" s="4"/>
      <c r="G100" s="2"/>
      <c r="H100" s="3"/>
      <c r="I100" s="6"/>
    </row>
    <row r="101" spans="2:9" ht="23.4" x14ac:dyDescent="0.45">
      <c r="B101" s="149" t="s">
        <v>78</v>
      </c>
      <c r="C101" s="71">
        <f>D107</f>
        <v>1.268</v>
      </c>
      <c r="D101" s="2">
        <v>11</v>
      </c>
      <c r="E101" s="58">
        <v>1.25</v>
      </c>
      <c r="F101" s="4">
        <f>E101/E99</f>
        <v>0.15625</v>
      </c>
      <c r="G101" s="9">
        <f>F101*G99</f>
        <v>31.25</v>
      </c>
      <c r="H101" s="72">
        <f>G101/D101*C101</f>
        <v>3.6022727272727271</v>
      </c>
      <c r="I101" s="73">
        <v>4.05</v>
      </c>
    </row>
    <row r="102" spans="2:9" ht="23.4" x14ac:dyDescent="0.45">
      <c r="B102" s="149" t="s">
        <v>79</v>
      </c>
      <c r="C102" s="71">
        <v>0.5</v>
      </c>
      <c r="D102" s="2">
        <v>17</v>
      </c>
      <c r="E102" s="58">
        <v>5</v>
      </c>
      <c r="F102" s="4">
        <f>E102/E99</f>
        <v>0.625</v>
      </c>
      <c r="G102" s="9">
        <f>F102*G99</f>
        <v>125</v>
      </c>
      <c r="H102" s="72">
        <f>G102/D102*C102</f>
        <v>3.6764705882352939</v>
      </c>
      <c r="I102" s="73">
        <v>3.74</v>
      </c>
    </row>
    <row r="103" spans="2:9" ht="23.4" x14ac:dyDescent="0.45">
      <c r="B103" s="149" t="s">
        <v>4</v>
      </c>
      <c r="C103" s="71">
        <f>D108</f>
        <v>0.1585</v>
      </c>
      <c r="D103" s="2">
        <v>20</v>
      </c>
      <c r="E103" s="58">
        <v>1</v>
      </c>
      <c r="F103" s="4">
        <f>E103/E99</f>
        <v>0.125</v>
      </c>
      <c r="G103" s="9">
        <f>F103*G99</f>
        <v>25</v>
      </c>
      <c r="H103" s="72">
        <f>G103/D103*C103</f>
        <v>0.198125</v>
      </c>
      <c r="I103" s="73">
        <f>0.3*C106</f>
        <v>0.19020000000000001</v>
      </c>
    </row>
    <row r="104" spans="2:9" ht="23.4" x14ac:dyDescent="0.45">
      <c r="B104" s="151" t="s">
        <v>5</v>
      </c>
      <c r="C104" s="74">
        <v>0</v>
      </c>
      <c r="D104" s="11"/>
      <c r="E104" s="59">
        <f>E99-E101-E102-E103</f>
        <v>0.75</v>
      </c>
      <c r="F104" s="13">
        <f>E104/E99</f>
        <v>9.375E-2</v>
      </c>
      <c r="G104" s="14">
        <f>F104*G99</f>
        <v>18.75</v>
      </c>
      <c r="H104" s="75">
        <f>SUM(H101:H103)</f>
        <v>7.4768683155080211</v>
      </c>
      <c r="I104" s="76">
        <f>SUM(I101:I103)</f>
        <v>7.9802</v>
      </c>
    </row>
    <row r="105" spans="2:9" ht="23.4" x14ac:dyDescent="0.45">
      <c r="B105" s="19"/>
      <c r="C105" s="19"/>
      <c r="D105" s="19"/>
      <c r="E105" s="62"/>
      <c r="F105" s="20"/>
      <c r="G105" s="21"/>
      <c r="H105" s="22"/>
      <c r="I105" s="22"/>
    </row>
    <row r="106" spans="2:9" ht="23.4" x14ac:dyDescent="0.45">
      <c r="B106" s="19" t="s">
        <v>80</v>
      </c>
      <c r="C106" s="19">
        <v>0.63400000000000001</v>
      </c>
      <c r="D106" s="19"/>
      <c r="E106" s="62"/>
      <c r="F106" s="78" t="s">
        <v>83</v>
      </c>
      <c r="G106" s="78" t="s">
        <v>82</v>
      </c>
      <c r="H106" s="78" t="s">
        <v>6</v>
      </c>
      <c r="I106" s="79" t="s">
        <v>84</v>
      </c>
    </row>
    <row r="107" spans="2:9" ht="23.4" x14ac:dyDescent="0.45">
      <c r="B107" s="19" t="s">
        <v>81</v>
      </c>
      <c r="C107" s="8">
        <v>2</v>
      </c>
      <c r="D107" s="71">
        <f>C107*C106</f>
        <v>1.268</v>
      </c>
      <c r="E107" s="62"/>
      <c r="F107" s="19">
        <v>0.73499999999999999</v>
      </c>
      <c r="G107" s="77">
        <v>39217</v>
      </c>
      <c r="H107" s="80">
        <v>8.01</v>
      </c>
      <c r="I107" s="80">
        <v>7.0000000000000007E-2</v>
      </c>
    </row>
    <row r="108" spans="2:9" ht="23.4" x14ac:dyDescent="0.45">
      <c r="B108" s="19" t="s">
        <v>4</v>
      </c>
      <c r="C108" s="8">
        <v>0.25</v>
      </c>
      <c r="D108" s="71">
        <f>C108*C106</f>
        <v>0.1585</v>
      </c>
      <c r="E108" s="62"/>
      <c r="F108" s="19">
        <v>0.63400000000000001</v>
      </c>
      <c r="G108" s="77">
        <v>39524</v>
      </c>
      <c r="H108" s="80">
        <v>7.98</v>
      </c>
      <c r="I108" s="80">
        <v>-0.5</v>
      </c>
    </row>
  </sheetData>
  <phoneticPr fontId="0" type="noConversion"/>
  <conditionalFormatting sqref="G4:G6 G20:G29">
    <cfRule type="cellIs" dxfId="16" priority="5" stopIfTrue="1" operator="equal">
      <formula>$G$39</formula>
    </cfRule>
    <cfRule type="cellIs" dxfId="15" priority="6" stopIfTrue="1" operator="equal">
      <formula>$G$40</formula>
    </cfRule>
  </conditionalFormatting>
  <conditionalFormatting sqref="G19">
    <cfRule type="cellIs" dxfId="14" priority="3" stopIfTrue="1" operator="equal">
      <formula>$G$39</formula>
    </cfRule>
    <cfRule type="cellIs" dxfId="13" priority="4" stopIfTrue="1" operator="equal">
      <formula>$G$40</formula>
    </cfRule>
  </conditionalFormatting>
  <conditionalFormatting sqref="G8:G18">
    <cfRule type="cellIs" dxfId="12" priority="1" stopIfTrue="1" operator="equal">
      <formula>$G$39</formula>
    </cfRule>
    <cfRule type="cellIs" dxfId="11" priority="2" stopIfTrue="1" operator="equal">
      <formula>$G$40</formula>
    </cfRule>
  </conditionalFormatting>
  <printOptions horizontalCentered="1" verticalCentered="1"/>
  <pageMargins left="0.25" right="0.25" top="1" bottom="1" header="0.5" footer="0.5"/>
  <pageSetup scale="37" orientation="portrait" verticalDpi="300" r:id="rId1"/>
  <headerFooter alignWithMargins="0"/>
  <drawing r:id="rId2"/>
  <picture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4"/>
  <sheetViews>
    <sheetView showGridLines="0" showRowColHeaders="0" tabSelected="1" topLeftCell="A2" zoomScale="110" zoomScaleNormal="110" workbookViewId="0">
      <pane xSplit="2" ySplit="2" topLeftCell="C4" activePane="bottomRight" state="frozen"/>
      <selection activeCell="A2" sqref="A2"/>
      <selection pane="topRight" activeCell="C2" sqref="C2"/>
      <selection pane="bottomLeft" activeCell="A4" sqref="A4"/>
      <selection pane="bottomRight" activeCell="C4" sqref="C4"/>
    </sheetView>
  </sheetViews>
  <sheetFormatPr defaultRowHeight="13.8" x14ac:dyDescent="0.25"/>
  <cols>
    <col min="1" max="1" width="3.125" customWidth="1"/>
    <col min="2" max="2" width="13.25" customWidth="1"/>
    <col min="3" max="3" width="13.75" customWidth="1"/>
    <col min="4" max="7" width="12.75" customWidth="1"/>
    <col min="8" max="8" width="17.25" customWidth="1"/>
    <col min="9" max="9" width="12.75" customWidth="1"/>
    <col min="10" max="10" width="1.75" customWidth="1"/>
  </cols>
  <sheetData>
    <row r="1" spans="1:14" ht="23.4" x14ac:dyDescent="0.45">
      <c r="B1" s="19"/>
      <c r="C1" s="19"/>
      <c r="D1" s="19"/>
      <c r="E1" s="19"/>
      <c r="F1" s="20"/>
      <c r="G1" s="21"/>
      <c r="H1" s="22"/>
      <c r="I1" s="22"/>
    </row>
    <row r="2" spans="1:14" ht="29.25" customHeight="1" thickBot="1" x14ac:dyDescent="0.6">
      <c r="A2" s="168"/>
      <c r="B2" s="171" t="s">
        <v>97</v>
      </c>
      <c r="C2" s="172"/>
      <c r="D2" s="172"/>
      <c r="E2" s="172"/>
      <c r="F2" s="172"/>
      <c r="G2" s="172"/>
      <c r="H2" s="173"/>
      <c r="I2" s="2"/>
    </row>
    <row r="3" spans="1:14" ht="23.4" x14ac:dyDescent="0.45">
      <c r="B3" s="155" t="s">
        <v>14</v>
      </c>
      <c r="C3" s="156" t="s">
        <v>12</v>
      </c>
      <c r="D3" s="156" t="s">
        <v>13</v>
      </c>
      <c r="E3" s="156" t="s">
        <v>20</v>
      </c>
      <c r="F3" s="169" t="s">
        <v>24</v>
      </c>
      <c r="G3" s="170"/>
      <c r="H3" s="157" t="s">
        <v>87</v>
      </c>
      <c r="I3" s="2"/>
      <c r="K3" s="162"/>
      <c r="L3" s="162"/>
      <c r="M3" s="162"/>
      <c r="N3" s="162"/>
    </row>
    <row r="4" spans="1:14" ht="23.4" x14ac:dyDescent="0.45">
      <c r="B4" s="158">
        <v>1</v>
      </c>
      <c r="C4" s="16"/>
      <c r="D4" s="16"/>
      <c r="E4" s="16" t="str">
        <f t="shared" ref="E4:E9" si="0">IF(ISBLANK(C4),"",D4-C4)</f>
        <v/>
      </c>
      <c r="F4" s="12" t="str">
        <f t="shared" ref="F4:F18" si="1">IF(ISBLANK(C4),"",IF(D4=MAX(D$4:D$18),"H",""))</f>
        <v/>
      </c>
      <c r="G4" s="23" t="str">
        <f>IF(F4="H",'Summary &amp; Solution'!$I$57-D4,"")</f>
        <v/>
      </c>
      <c r="H4" s="91" t="str">
        <f>IF(F4="H",$C$19-D4,"")</f>
        <v/>
      </c>
      <c r="I4" s="2"/>
      <c r="K4" s="162" t="str">
        <f>IF(ISBLANK(C4),"",IF(C4&lt;'Summary &amp; Solution'!$I$57,1,IF(C4&gt;'Summary &amp; Solution'!$I$57,2)))</f>
        <v/>
      </c>
      <c r="L4" s="162" t="str">
        <f>IF(ISBLANK(C4),"",IF(D4&lt;'Summary &amp; Solution'!$I$57,1,IF(D4&gt;'Summary &amp; Solution'!$I$57,2)))</f>
        <v/>
      </c>
      <c r="M4" s="162"/>
      <c r="N4" s="162">
        <f>IF(C4&gt;0,1,0)</f>
        <v>0</v>
      </c>
    </row>
    <row r="5" spans="1:14" ht="23.4" x14ac:dyDescent="0.45">
      <c r="B5" s="158">
        <f>B4+1</f>
        <v>2</v>
      </c>
      <c r="C5" s="16"/>
      <c r="D5" s="16"/>
      <c r="E5" s="16" t="str">
        <f t="shared" si="0"/>
        <v/>
      </c>
      <c r="F5" s="12" t="str">
        <f t="shared" si="1"/>
        <v/>
      </c>
      <c r="G5" s="23" t="str">
        <f>IF(F5="H",'Summary &amp; Solution'!$I$57-D5,"")</f>
        <v/>
      </c>
      <c r="H5" s="91" t="str">
        <f t="shared" ref="H5:H18" si="2">IF(F5="H",$C$19-D5,"")</f>
        <v/>
      </c>
      <c r="I5" s="2"/>
      <c r="K5" s="162" t="str">
        <f>IF(ISBLANK(C5),"",IF(C5&lt;'Summary &amp; Solution'!$I$57,1,IF(C5&gt;'Summary &amp; Solution'!$I$57,2)))</f>
        <v/>
      </c>
      <c r="L5" s="162" t="str">
        <f>IF(ISBLANK(C5),"",IF(D5&lt;'Summary &amp; Solution'!$I$57,1,IF(D5&gt;'Summary &amp; Solution'!$I$57,2)))</f>
        <v/>
      </c>
      <c r="M5" s="162"/>
      <c r="N5" s="162">
        <f t="shared" ref="N5:N18" si="3">IF(C5&gt;0,1,0)</f>
        <v>0</v>
      </c>
    </row>
    <row r="6" spans="1:14" ht="23.4" x14ac:dyDescent="0.45">
      <c r="B6" s="158">
        <f t="shared" ref="B6:B18" si="4">B5+1</f>
        <v>3</v>
      </c>
      <c r="C6" s="16"/>
      <c r="D6" s="16"/>
      <c r="E6" s="16" t="str">
        <f t="shared" si="0"/>
        <v/>
      </c>
      <c r="F6" s="12" t="str">
        <f t="shared" si="1"/>
        <v/>
      </c>
      <c r="G6" s="23" t="str">
        <f>IF(F6="H",'Summary &amp; Solution'!$I$57-D6,"")</f>
        <v/>
      </c>
      <c r="H6" s="91" t="str">
        <f t="shared" si="2"/>
        <v/>
      </c>
      <c r="I6" s="2"/>
      <c r="K6" s="162" t="str">
        <f>IF(ISBLANK(C6),"",IF(C6&lt;'Summary &amp; Solution'!$I$57,1,IF(C6&gt;'Summary &amp; Solution'!$I$57,2)))</f>
        <v/>
      </c>
      <c r="L6" s="162" t="str">
        <f>IF(ISBLANK(C6),"",IF(D6&lt;'Summary &amp; Solution'!$I$57,1,IF(D6&gt;'Summary &amp; Solution'!$I$57,2)))</f>
        <v/>
      </c>
      <c r="M6" s="162"/>
      <c r="N6" s="162">
        <f t="shared" si="3"/>
        <v>0</v>
      </c>
    </row>
    <row r="7" spans="1:14" ht="23.4" x14ac:dyDescent="0.45">
      <c r="B7" s="158">
        <f t="shared" si="4"/>
        <v>4</v>
      </c>
      <c r="C7" s="16"/>
      <c r="D7" s="16"/>
      <c r="E7" s="16" t="str">
        <f t="shared" si="0"/>
        <v/>
      </c>
      <c r="F7" s="12" t="str">
        <f t="shared" si="1"/>
        <v/>
      </c>
      <c r="G7" s="23" t="str">
        <f>IF(F7="H",'Summary &amp; Solution'!$I$57-D7,"")</f>
        <v/>
      </c>
      <c r="H7" s="91" t="str">
        <f t="shared" si="2"/>
        <v/>
      </c>
      <c r="I7" s="2"/>
      <c r="K7" s="162" t="str">
        <f>IF(ISBLANK(C7),"",IF(C7&lt;'Summary &amp; Solution'!$I$57,1,IF(C7&gt;'Summary &amp; Solution'!$I$57,2)))</f>
        <v/>
      </c>
      <c r="L7" s="162" t="str">
        <f>IF(ISBLANK(C7),"",IF(D7&lt;'Summary &amp; Solution'!$I$57,1,IF(D7&gt;'Summary &amp; Solution'!$I$57,2)))</f>
        <v/>
      </c>
      <c r="M7" s="162"/>
      <c r="N7" s="162">
        <f t="shared" si="3"/>
        <v>0</v>
      </c>
    </row>
    <row r="8" spans="1:14" ht="23.4" x14ac:dyDescent="0.45">
      <c r="B8" s="158">
        <f t="shared" si="4"/>
        <v>5</v>
      </c>
      <c r="C8" s="16"/>
      <c r="D8" s="16"/>
      <c r="E8" s="16" t="str">
        <f t="shared" si="0"/>
        <v/>
      </c>
      <c r="F8" s="12" t="str">
        <f t="shared" si="1"/>
        <v/>
      </c>
      <c r="G8" s="23" t="str">
        <f>IF(F8="H",'Summary &amp; Solution'!$I$57-D8,"")</f>
        <v/>
      </c>
      <c r="H8" s="91" t="str">
        <f t="shared" si="2"/>
        <v/>
      </c>
      <c r="I8" s="2"/>
      <c r="K8" s="162" t="str">
        <f>IF(ISBLANK(C8),"",IF(C8&lt;'Summary &amp; Solution'!$I$57,1,IF(C8&gt;'Summary &amp; Solution'!$I$57,2)))</f>
        <v/>
      </c>
      <c r="L8" s="162" t="str">
        <f>IF(ISBLANK(C8),"",IF(D8&lt;'Summary &amp; Solution'!$I$57,1,IF(D8&gt;'Summary &amp; Solution'!$I$57,2)))</f>
        <v/>
      </c>
      <c r="M8" s="162"/>
      <c r="N8" s="162">
        <f t="shared" si="3"/>
        <v>0</v>
      </c>
    </row>
    <row r="9" spans="1:14" ht="23.4" x14ac:dyDescent="0.45">
      <c r="B9" s="158">
        <f t="shared" si="4"/>
        <v>6</v>
      </c>
      <c r="C9" s="16"/>
      <c r="D9" s="16"/>
      <c r="E9" s="16" t="str">
        <f t="shared" si="0"/>
        <v/>
      </c>
      <c r="F9" s="12" t="str">
        <f t="shared" si="1"/>
        <v/>
      </c>
      <c r="G9" s="23" t="str">
        <f>IF(F9="H",'Summary &amp; Solution'!$I$57-D9,"")</f>
        <v/>
      </c>
      <c r="H9" s="91" t="str">
        <f t="shared" si="2"/>
        <v/>
      </c>
      <c r="I9" s="2"/>
      <c r="K9" s="162" t="str">
        <f>IF(ISBLANK(C9),"",IF(C9&lt;'Summary &amp; Solution'!$I$57,1,IF(C9&gt;'Summary &amp; Solution'!$I$57,2)))</f>
        <v/>
      </c>
      <c r="L9" s="162" t="str">
        <f>IF(ISBLANK(C9),"",IF(D9&lt;'Summary &amp; Solution'!$I$57,1,IF(D9&gt;'Summary &amp; Solution'!$I$57,2)))</f>
        <v/>
      </c>
      <c r="M9" s="162"/>
      <c r="N9" s="162">
        <f t="shared" si="3"/>
        <v>0</v>
      </c>
    </row>
    <row r="10" spans="1:14" ht="23.4" x14ac:dyDescent="0.45">
      <c r="B10" s="158">
        <f t="shared" si="4"/>
        <v>7</v>
      </c>
      <c r="C10" s="16"/>
      <c r="D10" s="16"/>
      <c r="E10" s="16" t="str">
        <f t="shared" ref="E10:E18" si="5">IF(ISBLANK(C10),"",D10-C10)</f>
        <v/>
      </c>
      <c r="F10" s="12" t="str">
        <f t="shared" si="1"/>
        <v/>
      </c>
      <c r="G10" s="23" t="str">
        <f>IF(F10="H",'Summary &amp; Solution'!$I$57-D10,"")</f>
        <v/>
      </c>
      <c r="H10" s="91" t="str">
        <f t="shared" si="2"/>
        <v/>
      </c>
      <c r="I10" s="2"/>
      <c r="K10" s="162" t="str">
        <f>IF(ISBLANK(C10),"",IF(C10&lt;'Summary &amp; Solution'!$I$57,1,IF(C10&gt;'Summary &amp; Solution'!$I$57,2)))</f>
        <v/>
      </c>
      <c r="L10" s="162" t="str">
        <f>IF(ISBLANK(C10),"",IF(D10&lt;'Summary &amp; Solution'!$I$57,1,IF(D10&gt;'Summary &amp; Solution'!$I$57,2)))</f>
        <v/>
      </c>
      <c r="M10" s="162"/>
      <c r="N10" s="162">
        <f t="shared" si="3"/>
        <v>0</v>
      </c>
    </row>
    <row r="11" spans="1:14" ht="23.4" x14ac:dyDescent="0.45">
      <c r="B11" s="158">
        <f t="shared" si="4"/>
        <v>8</v>
      </c>
      <c r="C11" s="16"/>
      <c r="D11" s="16"/>
      <c r="E11" s="16" t="str">
        <f t="shared" si="5"/>
        <v/>
      </c>
      <c r="F11" s="12" t="str">
        <f t="shared" si="1"/>
        <v/>
      </c>
      <c r="G11" s="23" t="str">
        <f>IF(F11="H",'Summary &amp; Solution'!$I$57-D11,"")</f>
        <v/>
      </c>
      <c r="H11" s="91" t="str">
        <f t="shared" si="2"/>
        <v/>
      </c>
      <c r="I11" s="2"/>
      <c r="K11" s="162" t="str">
        <f>IF(ISBLANK(C11),"",IF(C11&lt;'Summary &amp; Solution'!$I$57,1,IF(C11&gt;'Summary &amp; Solution'!$I$57,2)))</f>
        <v/>
      </c>
      <c r="L11" s="162" t="str">
        <f>IF(ISBLANK(C11),"",IF(D11&lt;'Summary &amp; Solution'!$I$57,1,IF(D11&gt;'Summary &amp; Solution'!$I$57,2)))</f>
        <v/>
      </c>
      <c r="M11" s="162"/>
      <c r="N11" s="162">
        <f t="shared" si="3"/>
        <v>0</v>
      </c>
    </row>
    <row r="12" spans="1:14" ht="23.4" x14ac:dyDescent="0.45">
      <c r="B12" s="158">
        <f t="shared" si="4"/>
        <v>9</v>
      </c>
      <c r="C12" s="16"/>
      <c r="D12" s="16"/>
      <c r="E12" s="16" t="str">
        <f t="shared" si="5"/>
        <v/>
      </c>
      <c r="F12" s="12" t="str">
        <f t="shared" si="1"/>
        <v/>
      </c>
      <c r="G12" s="23" t="str">
        <f>IF(F12="H",'Summary &amp; Solution'!$I$57-D12,"")</f>
        <v/>
      </c>
      <c r="H12" s="91" t="str">
        <f t="shared" si="2"/>
        <v/>
      </c>
      <c r="I12" s="2"/>
      <c r="K12" s="162" t="str">
        <f>IF(ISBLANK(C12),"",IF(C12&lt;'Summary &amp; Solution'!$I$57,1,IF(C12&gt;'Summary &amp; Solution'!$I$57,2)))</f>
        <v/>
      </c>
      <c r="L12" s="162" t="str">
        <f>IF(ISBLANK(C12),"",IF(D12&lt;'Summary &amp; Solution'!$I$57,1,IF(D12&gt;'Summary &amp; Solution'!$I$57,2)))</f>
        <v/>
      </c>
      <c r="M12" s="162"/>
      <c r="N12" s="162">
        <f t="shared" si="3"/>
        <v>0</v>
      </c>
    </row>
    <row r="13" spans="1:14" ht="23.4" x14ac:dyDescent="0.45">
      <c r="B13" s="158">
        <f t="shared" si="4"/>
        <v>10</v>
      </c>
      <c r="C13" s="16"/>
      <c r="D13" s="16"/>
      <c r="E13" s="16" t="str">
        <f t="shared" si="5"/>
        <v/>
      </c>
      <c r="F13" s="12" t="str">
        <f t="shared" si="1"/>
        <v/>
      </c>
      <c r="G13" s="23" t="str">
        <f>IF(F13="H",'Summary &amp; Solution'!$I$57-D13,"")</f>
        <v/>
      </c>
      <c r="H13" s="91" t="str">
        <f t="shared" si="2"/>
        <v/>
      </c>
      <c r="I13" s="2"/>
      <c r="K13" s="162" t="str">
        <f>IF(ISBLANK(C13),"",IF(C13&lt;'Summary &amp; Solution'!$I$57,1,IF(C13&gt;'Summary &amp; Solution'!$I$57,2)))</f>
        <v/>
      </c>
      <c r="L13" s="162" t="str">
        <f>IF(ISBLANK(C13),"",IF(D13&lt;'Summary &amp; Solution'!$I$57,1,IF(D13&gt;'Summary &amp; Solution'!$I$57,2)))</f>
        <v/>
      </c>
      <c r="M13" s="162"/>
      <c r="N13" s="162">
        <f t="shared" si="3"/>
        <v>0</v>
      </c>
    </row>
    <row r="14" spans="1:14" ht="23.4" hidden="1" x14ac:dyDescent="0.45">
      <c r="B14" s="158">
        <f t="shared" si="4"/>
        <v>11</v>
      </c>
      <c r="C14" s="16"/>
      <c r="D14" s="16"/>
      <c r="E14" s="16" t="str">
        <f t="shared" si="5"/>
        <v/>
      </c>
      <c r="F14" s="12" t="str">
        <f t="shared" si="1"/>
        <v/>
      </c>
      <c r="G14" s="23" t="str">
        <f>IF(F14="H",'Summary &amp; Solution'!$I$57-D14,"")</f>
        <v/>
      </c>
      <c r="H14" s="91" t="str">
        <f t="shared" si="2"/>
        <v/>
      </c>
      <c r="I14" s="2"/>
      <c r="K14" s="162" t="str">
        <f>IF(ISBLANK(C14),"",IF(C14&lt;'Summary &amp; Solution'!$I$57,1,IF(C14&gt;'Summary &amp; Solution'!$I$57,2)))</f>
        <v/>
      </c>
      <c r="L14" s="162" t="str">
        <f>IF(ISBLANK(C14),"",IF(D14&lt;'Summary &amp; Solution'!$I$57,1,IF(D14&gt;'Summary &amp; Solution'!$I$57,2)))</f>
        <v/>
      </c>
      <c r="M14" s="162"/>
      <c r="N14" s="162">
        <f t="shared" si="3"/>
        <v>0</v>
      </c>
    </row>
    <row r="15" spans="1:14" ht="23.4" hidden="1" x14ac:dyDescent="0.45">
      <c r="B15" s="158">
        <f t="shared" si="4"/>
        <v>12</v>
      </c>
      <c r="C15" s="16"/>
      <c r="D15" s="16"/>
      <c r="E15" s="16" t="str">
        <f t="shared" si="5"/>
        <v/>
      </c>
      <c r="F15" s="12" t="str">
        <f t="shared" si="1"/>
        <v/>
      </c>
      <c r="G15" s="23" t="str">
        <f>IF(F15="H",'Summary &amp; Solution'!$I$57-D15,"")</f>
        <v/>
      </c>
      <c r="H15" s="91" t="str">
        <f t="shared" si="2"/>
        <v/>
      </c>
      <c r="I15" s="2"/>
      <c r="K15" s="162" t="str">
        <f>IF(ISBLANK(C15),"",IF(C15&lt;'Summary &amp; Solution'!$I$57,1,IF(C15&gt;'Summary &amp; Solution'!$I$57,2)))</f>
        <v/>
      </c>
      <c r="L15" s="162" t="str">
        <f>IF(ISBLANK(C15),"",IF(D15&lt;'Summary &amp; Solution'!$I$57,1,IF(D15&gt;'Summary &amp; Solution'!$I$57,2)))</f>
        <v/>
      </c>
      <c r="M15" s="162"/>
      <c r="N15" s="162">
        <f t="shared" si="3"/>
        <v>0</v>
      </c>
    </row>
    <row r="16" spans="1:14" ht="23.4" hidden="1" x14ac:dyDescent="0.45">
      <c r="B16" s="158">
        <f t="shared" si="4"/>
        <v>13</v>
      </c>
      <c r="C16" s="16"/>
      <c r="D16" s="16"/>
      <c r="E16" s="16" t="str">
        <f t="shared" si="5"/>
        <v/>
      </c>
      <c r="F16" s="12" t="str">
        <f t="shared" si="1"/>
        <v/>
      </c>
      <c r="G16" s="23" t="str">
        <f>IF(F16="H",'Summary &amp; Solution'!$I$57-D16,"")</f>
        <v/>
      </c>
      <c r="H16" s="91" t="str">
        <f t="shared" si="2"/>
        <v/>
      </c>
      <c r="I16" s="2"/>
      <c r="K16" s="162" t="str">
        <f>IF(ISBLANK(C16),"",IF(C16&lt;'Summary &amp; Solution'!$I$57,1,IF(C16&gt;'Summary &amp; Solution'!$I$57,2)))</f>
        <v/>
      </c>
      <c r="L16" s="162" t="str">
        <f>IF(ISBLANK(C16),"",IF(D16&lt;'Summary &amp; Solution'!$I$57,1,IF(D16&gt;'Summary &amp; Solution'!$I$57,2)))</f>
        <v/>
      </c>
      <c r="M16" s="162"/>
      <c r="N16" s="162">
        <f t="shared" si="3"/>
        <v>0</v>
      </c>
    </row>
    <row r="17" spans="2:22" ht="23.4" hidden="1" x14ac:dyDescent="0.45">
      <c r="B17" s="158">
        <f t="shared" si="4"/>
        <v>14</v>
      </c>
      <c r="C17" s="16"/>
      <c r="D17" s="16"/>
      <c r="E17" s="16" t="str">
        <f t="shared" si="5"/>
        <v/>
      </c>
      <c r="F17" s="12" t="str">
        <f t="shared" si="1"/>
        <v/>
      </c>
      <c r="G17" s="23" t="str">
        <f>IF(F17="H",'Summary &amp; Solution'!$I$57-D17,"")</f>
        <v/>
      </c>
      <c r="H17" s="91" t="str">
        <f t="shared" si="2"/>
        <v/>
      </c>
      <c r="I17" s="2"/>
      <c r="K17" s="162" t="str">
        <f>IF(ISBLANK(C17),"",IF(C17&lt;'Summary &amp; Solution'!$I$57,1,IF(C17&gt;'Summary &amp; Solution'!$I$57,2)))</f>
        <v/>
      </c>
      <c r="L17" s="162" t="str">
        <f>IF(ISBLANK(C17),"",IF(D17&lt;'Summary &amp; Solution'!$I$57,1,IF(D17&gt;'Summary &amp; Solution'!$I$57,2)))</f>
        <v/>
      </c>
      <c r="M17" s="162"/>
      <c r="N17" s="162">
        <f t="shared" si="3"/>
        <v>0</v>
      </c>
    </row>
    <row r="18" spans="2:22" ht="23.4" hidden="1" x14ac:dyDescent="0.45">
      <c r="B18" s="158">
        <f t="shared" si="4"/>
        <v>15</v>
      </c>
      <c r="C18" s="16"/>
      <c r="D18" s="16"/>
      <c r="E18" s="16" t="str">
        <f t="shared" si="5"/>
        <v/>
      </c>
      <c r="F18" s="12" t="str">
        <f t="shared" si="1"/>
        <v/>
      </c>
      <c r="G18" s="23" t="str">
        <f>IF(F18="H",'Summary &amp; Solution'!$I$57-D18,"")</f>
        <v/>
      </c>
      <c r="H18" s="91" t="str">
        <f t="shared" si="2"/>
        <v/>
      </c>
      <c r="I18" s="2"/>
      <c r="K18" s="162" t="str">
        <f>IF(ISBLANK(C18),"",IF(C18&lt;'Summary &amp; Solution'!$I$57,1,IF(C18&gt;'Summary &amp; Solution'!$I$57,2)))</f>
        <v/>
      </c>
      <c r="L18" s="162" t="str">
        <f>IF(ISBLANK(C18),"",IF(D18&lt;'Summary &amp; Solution'!$I$57,1,IF(D18&gt;'Summary &amp; Solution'!$I$57,2)))</f>
        <v/>
      </c>
      <c r="M18" s="162"/>
      <c r="N18" s="162">
        <f t="shared" si="3"/>
        <v>0</v>
      </c>
    </row>
    <row r="19" spans="2:22" ht="23.4" x14ac:dyDescent="0.45">
      <c r="B19" s="125" t="s">
        <v>15</v>
      </c>
      <c r="C19" s="16">
        <f>IF(SUM(C4:C18)&gt;0,AVERAGEA(C4:C18),0)</f>
        <v>0</v>
      </c>
      <c r="D19" s="16">
        <f>IF(SUM(D4:D18)&gt;0,AVERAGEA(D4:D18),0)</f>
        <v>0</v>
      </c>
      <c r="E19" s="16">
        <f>AVERAGEA(E4:E18)</f>
        <v>0</v>
      </c>
      <c r="F19" s="30" t="str">
        <f>IF(G19&lt;0,"Cursed:","Winner!")</f>
        <v>Winner!</v>
      </c>
      <c r="G19" s="23">
        <f>SUM(G4:G18)</f>
        <v>0</v>
      </c>
      <c r="H19" s="92">
        <f>SUM(H4:H18)</f>
        <v>0</v>
      </c>
      <c r="I19" s="2"/>
      <c r="K19" s="162"/>
      <c r="L19" s="162"/>
      <c r="M19" s="162" t="s">
        <v>37</v>
      </c>
      <c r="N19" s="162">
        <f>SUM(N4:N18)</f>
        <v>0</v>
      </c>
      <c r="U19" s="24"/>
      <c r="V19" s="24"/>
    </row>
    <row r="20" spans="2:22" ht="23.4" x14ac:dyDescent="0.45">
      <c r="B20" s="125" t="s">
        <v>16</v>
      </c>
      <c r="C20" s="16" t="str">
        <f>IF(SUM(C4:C18)&gt;0,STDEVPA(C4:C18),"")</f>
        <v/>
      </c>
      <c r="D20" s="16" t="str">
        <f>IF(SUM(D4:D18)&gt;0,STDEVPA(D4:D18),"")</f>
        <v/>
      </c>
      <c r="E20" s="16">
        <f>STDEVPA(E4:E18)</f>
        <v>0</v>
      </c>
      <c r="F20" s="12"/>
      <c r="G20" s="23"/>
      <c r="H20" s="93"/>
      <c r="I20" s="2"/>
    </row>
    <row r="21" spans="2:22" ht="23.4" x14ac:dyDescent="0.45">
      <c r="B21" s="125" t="s">
        <v>42</v>
      </c>
      <c r="C21" s="16" t="e">
        <f>MEDIAN(C4:C18)</f>
        <v>#NUM!</v>
      </c>
      <c r="D21" s="16" t="e">
        <f>MEDIAN(D4:D18)</f>
        <v>#NUM!</v>
      </c>
      <c r="E21" s="16" t="e">
        <f>MEDIAN(E4:E18)</f>
        <v>#NUM!</v>
      </c>
      <c r="F21" s="12"/>
      <c r="G21" s="23"/>
      <c r="H21" s="93"/>
      <c r="I21" s="2"/>
    </row>
    <row r="22" spans="2:22" ht="23.4" x14ac:dyDescent="0.45">
      <c r="B22" s="125" t="s">
        <v>18</v>
      </c>
      <c r="C22" s="17">
        <f>COUNTIF(K$4:K$18,"=1")</f>
        <v>0</v>
      </c>
      <c r="D22" s="17">
        <f>COUNTIF(L$4:L$18,"=1")</f>
        <v>0</v>
      </c>
      <c r="E22" s="17"/>
      <c r="F22" s="12"/>
      <c r="G22" s="23"/>
      <c r="H22" s="93"/>
      <c r="I22" s="2"/>
    </row>
    <row r="23" spans="2:22" ht="24" thickBot="1" x14ac:dyDescent="0.5">
      <c r="B23" s="159" t="s">
        <v>19</v>
      </c>
      <c r="C23" s="94">
        <f>COUNTIF(K$4:K$18,"=2")</f>
        <v>0</v>
      </c>
      <c r="D23" s="94">
        <f>COUNTIF(L$4:L$18,"=2")</f>
        <v>0</v>
      </c>
      <c r="E23" s="94"/>
      <c r="F23" s="95"/>
      <c r="G23" s="96"/>
      <c r="H23" s="97"/>
      <c r="I23" s="2"/>
    </row>
    <row r="34" spans="2:6" x14ac:dyDescent="0.25">
      <c r="B34" t="s">
        <v>91</v>
      </c>
      <c r="C34" s="106">
        <f>COUNTIF(C4:C18,"&gt;0")</f>
        <v>0</v>
      </c>
    </row>
    <row r="43" spans="2:6" ht="23.4" x14ac:dyDescent="0.45">
      <c r="B43" s="35" t="str">
        <f t="shared" ref="B43:B58" si="6">B3</f>
        <v>Team</v>
      </c>
      <c r="C43" s="40" t="str">
        <f t="shared" ref="C43:C58" si="7">D3</f>
        <v>Bid</v>
      </c>
      <c r="D43" s="41" t="s">
        <v>45</v>
      </c>
      <c r="E43" s="41" t="s">
        <v>48</v>
      </c>
    </row>
    <row r="44" spans="2:6" ht="23.4" x14ac:dyDescent="0.45">
      <c r="B44" s="38">
        <f t="shared" si="6"/>
        <v>1</v>
      </c>
      <c r="C44" s="39">
        <f t="shared" si="7"/>
        <v>0</v>
      </c>
      <c r="D44" s="39"/>
      <c r="E44" s="39">
        <f>MAX(C44:D44)</f>
        <v>0</v>
      </c>
      <c r="F44" s="42" t="str">
        <f t="shared" ref="F44:F58" si="8">IF(MAX(C44:D44)=C$64,"Winner!","")</f>
        <v/>
      </c>
    </row>
    <row r="45" spans="2:6" ht="23.4" x14ac:dyDescent="0.45">
      <c r="B45" s="36">
        <f t="shared" si="6"/>
        <v>2</v>
      </c>
      <c r="C45" s="39">
        <f t="shared" si="7"/>
        <v>0</v>
      </c>
      <c r="D45" s="39"/>
      <c r="E45" s="39">
        <f t="shared" ref="E45:E58" si="9">MAX(C45:D45)</f>
        <v>0</v>
      </c>
      <c r="F45" s="42" t="str">
        <f t="shared" si="8"/>
        <v/>
      </c>
    </row>
    <row r="46" spans="2:6" ht="23.4" x14ac:dyDescent="0.45">
      <c r="B46" s="36">
        <f t="shared" si="6"/>
        <v>3</v>
      </c>
      <c r="C46" s="39">
        <f t="shared" si="7"/>
        <v>0</v>
      </c>
      <c r="D46" s="39"/>
      <c r="E46" s="39">
        <f t="shared" si="9"/>
        <v>0</v>
      </c>
      <c r="F46" s="42" t="str">
        <f t="shared" si="8"/>
        <v/>
      </c>
    </row>
    <row r="47" spans="2:6" ht="23.4" x14ac:dyDescent="0.45">
      <c r="B47" s="36">
        <f t="shared" si="6"/>
        <v>4</v>
      </c>
      <c r="C47" s="39">
        <f t="shared" si="7"/>
        <v>0</v>
      </c>
      <c r="D47" s="39">
        <v>17.510000000000002</v>
      </c>
      <c r="E47" s="39">
        <f t="shared" si="9"/>
        <v>17.510000000000002</v>
      </c>
      <c r="F47" s="42" t="str">
        <f t="shared" si="8"/>
        <v>Winner!</v>
      </c>
    </row>
    <row r="48" spans="2:6" ht="23.4" x14ac:dyDescent="0.45">
      <c r="B48" s="36">
        <f t="shared" si="6"/>
        <v>5</v>
      </c>
      <c r="C48" s="39">
        <f t="shared" si="7"/>
        <v>0</v>
      </c>
      <c r="D48" s="39"/>
      <c r="E48" s="39">
        <f t="shared" si="9"/>
        <v>0</v>
      </c>
      <c r="F48" s="42" t="str">
        <f t="shared" si="8"/>
        <v/>
      </c>
    </row>
    <row r="49" spans="2:6" ht="23.4" x14ac:dyDescent="0.45">
      <c r="B49" s="36">
        <f t="shared" si="6"/>
        <v>6</v>
      </c>
      <c r="C49" s="39">
        <f t="shared" si="7"/>
        <v>0</v>
      </c>
      <c r="D49" s="39"/>
      <c r="E49" s="39">
        <f t="shared" si="9"/>
        <v>0</v>
      </c>
      <c r="F49" s="42" t="str">
        <f t="shared" si="8"/>
        <v/>
      </c>
    </row>
    <row r="50" spans="2:6" ht="23.4" x14ac:dyDescent="0.45">
      <c r="B50" s="36">
        <f t="shared" si="6"/>
        <v>7</v>
      </c>
      <c r="C50" s="39">
        <f t="shared" si="7"/>
        <v>0</v>
      </c>
      <c r="D50" s="39"/>
      <c r="E50" s="39">
        <f t="shared" si="9"/>
        <v>0</v>
      </c>
      <c r="F50" s="42" t="str">
        <f t="shared" si="8"/>
        <v/>
      </c>
    </row>
    <row r="51" spans="2:6" ht="23.4" x14ac:dyDescent="0.45">
      <c r="B51" s="36">
        <f t="shared" si="6"/>
        <v>8</v>
      </c>
      <c r="C51" s="39">
        <f t="shared" si="7"/>
        <v>0</v>
      </c>
      <c r="D51" s="39"/>
      <c r="E51" s="39">
        <f t="shared" si="9"/>
        <v>0</v>
      </c>
      <c r="F51" s="42" t="str">
        <f t="shared" si="8"/>
        <v/>
      </c>
    </row>
    <row r="52" spans="2:6" ht="23.4" x14ac:dyDescent="0.45">
      <c r="B52" s="36">
        <f t="shared" si="6"/>
        <v>9</v>
      </c>
      <c r="C52" s="39">
        <f t="shared" si="7"/>
        <v>0</v>
      </c>
      <c r="D52" s="39"/>
      <c r="E52" s="39">
        <f t="shared" si="9"/>
        <v>0</v>
      </c>
      <c r="F52" s="42" t="str">
        <f t="shared" si="8"/>
        <v/>
      </c>
    </row>
    <row r="53" spans="2:6" ht="23.4" x14ac:dyDescent="0.45">
      <c r="B53" s="36">
        <f t="shared" si="6"/>
        <v>10</v>
      </c>
      <c r="C53" s="39">
        <f t="shared" si="7"/>
        <v>0</v>
      </c>
      <c r="D53" s="39"/>
      <c r="E53" s="39">
        <f t="shared" si="9"/>
        <v>0</v>
      </c>
      <c r="F53" s="42" t="str">
        <f t="shared" si="8"/>
        <v/>
      </c>
    </row>
    <row r="54" spans="2:6" ht="23.4" x14ac:dyDescent="0.45">
      <c r="B54" s="36">
        <f t="shared" si="6"/>
        <v>11</v>
      </c>
      <c r="C54" s="39">
        <f t="shared" si="7"/>
        <v>0</v>
      </c>
      <c r="D54" s="39"/>
      <c r="E54" s="39">
        <f t="shared" si="9"/>
        <v>0</v>
      </c>
      <c r="F54" s="42" t="str">
        <f t="shared" si="8"/>
        <v/>
      </c>
    </row>
    <row r="55" spans="2:6" ht="23.4" x14ac:dyDescent="0.45">
      <c r="B55" s="36">
        <f t="shared" si="6"/>
        <v>12</v>
      </c>
      <c r="C55" s="39">
        <f t="shared" si="7"/>
        <v>0</v>
      </c>
      <c r="D55" s="39"/>
      <c r="E55" s="39">
        <f t="shared" si="9"/>
        <v>0</v>
      </c>
      <c r="F55" s="42" t="str">
        <f t="shared" si="8"/>
        <v/>
      </c>
    </row>
    <row r="56" spans="2:6" ht="23.4" x14ac:dyDescent="0.45">
      <c r="B56" s="36">
        <f t="shared" si="6"/>
        <v>13</v>
      </c>
      <c r="C56" s="39">
        <f t="shared" si="7"/>
        <v>0</v>
      </c>
      <c r="D56" s="39"/>
      <c r="E56" s="39">
        <f t="shared" si="9"/>
        <v>0</v>
      </c>
      <c r="F56" s="42" t="str">
        <f t="shared" si="8"/>
        <v/>
      </c>
    </row>
    <row r="57" spans="2:6" ht="23.4" x14ac:dyDescent="0.45">
      <c r="B57" s="37">
        <f t="shared" si="6"/>
        <v>14</v>
      </c>
      <c r="C57" s="39">
        <f t="shared" si="7"/>
        <v>0</v>
      </c>
      <c r="D57" s="39"/>
      <c r="E57" s="39">
        <f t="shared" si="9"/>
        <v>0</v>
      </c>
      <c r="F57" s="42" t="str">
        <f t="shared" si="8"/>
        <v/>
      </c>
    </row>
    <row r="58" spans="2:6" ht="23.4" x14ac:dyDescent="0.45">
      <c r="B58" s="37">
        <f t="shared" si="6"/>
        <v>15</v>
      </c>
      <c r="C58" s="39">
        <f t="shared" si="7"/>
        <v>0</v>
      </c>
      <c r="D58" s="39"/>
      <c r="E58" s="39">
        <f t="shared" si="9"/>
        <v>0</v>
      </c>
      <c r="F58" s="42" t="str">
        <f t="shared" si="8"/>
        <v/>
      </c>
    </row>
    <row r="64" spans="2:6" x14ac:dyDescent="0.25">
      <c r="C64" s="26">
        <f>MAX(C44:D59)</f>
        <v>17.510000000000002</v>
      </c>
    </row>
  </sheetData>
  <mergeCells count="2">
    <mergeCell ref="F3:G3"/>
    <mergeCell ref="B2:H2"/>
  </mergeCells>
  <phoneticPr fontId="0" type="noConversion"/>
  <conditionalFormatting sqref="G4:G18">
    <cfRule type="cellIs" dxfId="10" priority="3" stopIfTrue="1" operator="lessThan">
      <formula>0</formula>
    </cfRule>
    <cfRule type="cellIs" dxfId="9" priority="4" stopIfTrue="1" operator="greaterThanOrEqual">
      <formula>0</formula>
    </cfRule>
  </conditionalFormatting>
  <conditionalFormatting sqref="C19">
    <cfRule type="cellIs" dxfId="8" priority="5" stopIfTrue="1" operator="lessThan">
      <formula>$U$19</formula>
    </cfRule>
  </conditionalFormatting>
  <conditionalFormatting sqref="H4:H18">
    <cfRule type="cellIs" dxfId="7" priority="1" stopIfTrue="1" operator="lessThan">
      <formula>0</formula>
    </cfRule>
    <cfRule type="cellIs" dxfId="6" priority="2" stopIfTrue="1" operator="greaterThanOrEqual">
      <formula>0</formula>
    </cfRule>
  </conditionalFormatting>
  <pageMargins left="0.75" right="0.75" top="1" bottom="1" header="0.5" footer="0.5"/>
  <pageSetup orientation="portrait" r:id="rId1"/>
  <headerFooter alignWithMargins="0"/>
  <drawing r:id="rId2"/>
  <picture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W64"/>
  <sheetViews>
    <sheetView showGridLines="0" showRowColHeaders="0" zoomScale="110" zoomScaleNormal="110" workbookViewId="0">
      <pane xSplit="2" ySplit="2" topLeftCell="C3" activePane="bottomRight" state="frozen"/>
      <selection pane="topRight" activeCell="C1" sqref="C1"/>
      <selection pane="bottomLeft" activeCell="A4" sqref="A4"/>
      <selection pane="bottomRight" activeCell="C3" sqref="C3"/>
    </sheetView>
  </sheetViews>
  <sheetFormatPr defaultRowHeight="13.8" x14ac:dyDescent="0.25"/>
  <cols>
    <col min="1" max="1" width="2.875" customWidth="1"/>
    <col min="2" max="2" width="13.25" customWidth="1"/>
    <col min="3" max="3" width="14.125" customWidth="1"/>
    <col min="4" max="7" width="12.75" customWidth="1"/>
    <col min="8" max="8" width="17.375" customWidth="1"/>
    <col min="9" max="10" width="12.75" customWidth="1"/>
    <col min="11" max="11" width="1.75" customWidth="1"/>
  </cols>
  <sheetData>
    <row r="1" spans="2:18" ht="31.5" customHeight="1" thickBot="1" x14ac:dyDescent="0.6">
      <c r="B1" s="171" t="s">
        <v>98</v>
      </c>
      <c r="C1" s="172"/>
      <c r="D1" s="172"/>
      <c r="E1" s="172"/>
      <c r="F1" s="172"/>
      <c r="G1" s="172"/>
      <c r="H1" s="173"/>
      <c r="I1" s="2"/>
      <c r="J1" s="2"/>
    </row>
    <row r="2" spans="2:18" ht="23.4" x14ac:dyDescent="0.45">
      <c r="B2" s="155" t="s">
        <v>14</v>
      </c>
      <c r="C2" s="156" t="s">
        <v>12</v>
      </c>
      <c r="D2" s="156" t="s">
        <v>13</v>
      </c>
      <c r="E2" s="156" t="s">
        <v>20</v>
      </c>
      <c r="F2" s="169" t="s">
        <v>24</v>
      </c>
      <c r="G2" s="170"/>
      <c r="H2" s="157" t="s">
        <v>87</v>
      </c>
      <c r="I2" s="2"/>
      <c r="J2" s="2"/>
    </row>
    <row r="3" spans="2:18" ht="23.4" x14ac:dyDescent="0.45">
      <c r="B3" s="158">
        <v>12</v>
      </c>
      <c r="C3" s="16"/>
      <c r="D3" s="16"/>
      <c r="E3" s="16" t="str">
        <f t="shared" ref="E3:E9" si="0">IF(ISBLANK(C3),"",D3-C3)</f>
        <v/>
      </c>
      <c r="F3" s="12" t="str">
        <f>IF(ISBLANK(C3),"",IF(D3=MAX(D$3:D$17),"H",""))</f>
        <v/>
      </c>
      <c r="G3" s="23" t="str">
        <f>IF(F3="H",'Summary &amp; Solution'!$I$57-D3,"")</f>
        <v/>
      </c>
      <c r="H3" s="91" t="str">
        <f>IF(F3="H",$C$18-D3,"")</f>
        <v/>
      </c>
      <c r="I3" s="2"/>
      <c r="J3" s="2"/>
      <c r="Q3" t="str">
        <f>IF(ISBLANK(C3),"",IF(C3&lt;'Summary &amp; Solution'!$I$57,1,IF(C3&gt;'Summary &amp; Solution'!$I$57,2)))</f>
        <v/>
      </c>
      <c r="R3" t="str">
        <f>IF(ISBLANK(C3),"",IF(D3&lt;'Summary &amp; Solution'!$I$57,1,IF(D3&gt;'Summary &amp; Solution'!$I$57,2)))</f>
        <v/>
      </c>
    </row>
    <row r="4" spans="2:18" ht="23.4" x14ac:dyDescent="0.45">
      <c r="B4" s="158">
        <f>B3+1</f>
        <v>13</v>
      </c>
      <c r="C4" s="16"/>
      <c r="D4" s="16"/>
      <c r="E4" s="16" t="str">
        <f t="shared" si="0"/>
        <v/>
      </c>
      <c r="F4" s="12" t="str">
        <f t="shared" ref="F4:F17" si="1">IF(ISBLANK(C4),"",IF(D4=MAX(D$3:D$17),"H",""))</f>
        <v/>
      </c>
      <c r="G4" s="23" t="str">
        <f>IF(F4="H",'Summary &amp; Solution'!$I$57-D4,"")</f>
        <v/>
      </c>
      <c r="H4" s="91" t="str">
        <f>IF(F4="H",$C$18-D4,"")</f>
        <v/>
      </c>
      <c r="I4" s="2"/>
      <c r="J4" s="2"/>
      <c r="Q4" t="str">
        <f>IF(ISBLANK(C4),"",IF(C4&lt;'Summary &amp; Solution'!$I$57,1,IF(C4&gt;'Summary &amp; Solution'!$I$57,2)))</f>
        <v/>
      </c>
      <c r="R4" t="str">
        <f>IF(ISBLANK(C4),"",IF(D4&lt;'Summary &amp; Solution'!$I$57,1,IF(D4&gt;'Summary &amp; Solution'!$I$57,2)))</f>
        <v/>
      </c>
    </row>
    <row r="5" spans="2:18" ht="23.4" x14ac:dyDescent="0.45">
      <c r="B5" s="158">
        <f t="shared" ref="B5:B17" si="2">B4+1</f>
        <v>14</v>
      </c>
      <c r="C5" s="16"/>
      <c r="D5" s="16"/>
      <c r="E5" s="16" t="str">
        <f t="shared" si="0"/>
        <v/>
      </c>
      <c r="F5" s="12" t="str">
        <f t="shared" si="1"/>
        <v/>
      </c>
      <c r="G5" s="23" t="str">
        <f>IF(F5="H",'Summary &amp; Solution'!$I$57-D5,"")</f>
        <v/>
      </c>
      <c r="H5" s="91" t="str">
        <f t="shared" ref="H5:H17" si="3">IF(F5="H",$C$18-D5,"")</f>
        <v/>
      </c>
      <c r="I5" s="2"/>
      <c r="J5" s="2"/>
      <c r="Q5" t="str">
        <f>IF(ISBLANK(C5),"",IF(C5&lt;'Summary &amp; Solution'!$I$57,1,IF(C5&gt;'Summary &amp; Solution'!$I$57,2)))</f>
        <v/>
      </c>
      <c r="R5" t="str">
        <f>IF(ISBLANK(C5),"",IF(D5&lt;'Summary &amp; Solution'!$I$57,1,IF(D5&gt;'Summary &amp; Solution'!$I$57,2)))</f>
        <v/>
      </c>
    </row>
    <row r="6" spans="2:18" ht="23.4" x14ac:dyDescent="0.45">
      <c r="B6" s="158">
        <f t="shared" si="2"/>
        <v>15</v>
      </c>
      <c r="C6" s="16"/>
      <c r="D6" s="16"/>
      <c r="E6" s="16" t="str">
        <f t="shared" si="0"/>
        <v/>
      </c>
      <c r="F6" s="12" t="str">
        <f t="shared" si="1"/>
        <v/>
      </c>
      <c r="G6" s="23" t="str">
        <f>IF(F6="H",'Summary &amp; Solution'!$I$57-D6,"")</f>
        <v/>
      </c>
      <c r="H6" s="91" t="str">
        <f t="shared" si="3"/>
        <v/>
      </c>
      <c r="I6" s="2"/>
      <c r="J6" s="2"/>
      <c r="Q6" t="str">
        <f>IF(ISBLANK(C6),"",IF(C6&lt;'Summary &amp; Solution'!$I$57,1,IF(C6&gt;'Summary &amp; Solution'!$I$57,2)))</f>
        <v/>
      </c>
      <c r="R6" t="str">
        <f>IF(ISBLANK(C6),"",IF(D6&lt;'Summary &amp; Solution'!$I$57,1,IF(D6&gt;'Summary &amp; Solution'!$I$57,2)))</f>
        <v/>
      </c>
    </row>
    <row r="7" spans="2:18" ht="23.4" x14ac:dyDescent="0.45">
      <c r="B7" s="158">
        <f t="shared" si="2"/>
        <v>16</v>
      </c>
      <c r="C7" s="16"/>
      <c r="D7" s="16"/>
      <c r="E7" s="16" t="str">
        <f t="shared" si="0"/>
        <v/>
      </c>
      <c r="F7" s="12" t="str">
        <f t="shared" si="1"/>
        <v/>
      </c>
      <c r="G7" s="23" t="str">
        <f>IF(F7="H",'Summary &amp; Solution'!$I$57-D7,"")</f>
        <v/>
      </c>
      <c r="H7" s="91" t="str">
        <f t="shared" si="3"/>
        <v/>
      </c>
      <c r="I7" s="2"/>
      <c r="J7" s="2"/>
      <c r="Q7" t="str">
        <f>IF(ISBLANK(C7),"",IF(C7&lt;'Summary &amp; Solution'!$I$57,1,IF(C7&gt;'Summary &amp; Solution'!$I$57,2)))</f>
        <v/>
      </c>
      <c r="R7" t="str">
        <f>IF(ISBLANK(C7),"",IF(D7&lt;'Summary &amp; Solution'!$I$57,1,IF(D7&gt;'Summary &amp; Solution'!$I$57,2)))</f>
        <v/>
      </c>
    </row>
    <row r="8" spans="2:18" ht="23.4" x14ac:dyDescent="0.45">
      <c r="B8" s="158">
        <f t="shared" si="2"/>
        <v>17</v>
      </c>
      <c r="C8" s="16"/>
      <c r="D8" s="16"/>
      <c r="E8" s="16" t="str">
        <f t="shared" si="0"/>
        <v/>
      </c>
      <c r="F8" s="12" t="str">
        <f t="shared" si="1"/>
        <v/>
      </c>
      <c r="G8" s="23" t="str">
        <f>IF(F8="H",'Summary &amp; Solution'!$I$57-D8,"")</f>
        <v/>
      </c>
      <c r="H8" s="91" t="str">
        <f t="shared" si="3"/>
        <v/>
      </c>
      <c r="I8" s="2"/>
      <c r="J8" s="2"/>
      <c r="Q8" t="str">
        <f>IF(ISBLANK(C8),"",IF(C8&lt;'Summary &amp; Solution'!$I$57,1,IF(C8&gt;'Summary &amp; Solution'!$I$57,2)))</f>
        <v/>
      </c>
      <c r="R8" t="str">
        <f>IF(ISBLANK(C8),"",IF(D8&lt;'Summary &amp; Solution'!$I$57,1,IF(D8&gt;'Summary &amp; Solution'!$I$57,2)))</f>
        <v/>
      </c>
    </row>
    <row r="9" spans="2:18" ht="23.4" x14ac:dyDescent="0.45">
      <c r="B9" s="158">
        <f t="shared" si="2"/>
        <v>18</v>
      </c>
      <c r="C9" s="16"/>
      <c r="D9" s="16"/>
      <c r="E9" s="16" t="str">
        <f t="shared" si="0"/>
        <v/>
      </c>
      <c r="F9" s="12" t="str">
        <f t="shared" si="1"/>
        <v/>
      </c>
      <c r="G9" s="23" t="str">
        <f>IF(F9="H",'Summary &amp; Solution'!$I$57-D9,"")</f>
        <v/>
      </c>
      <c r="H9" s="91" t="str">
        <f t="shared" si="3"/>
        <v/>
      </c>
      <c r="I9" s="2"/>
      <c r="J9" s="2"/>
      <c r="Q9" t="str">
        <f>IF(ISBLANK(C9),"",IF(C9&lt;'Summary &amp; Solution'!$I$57,1,IF(C9&gt;'Summary &amp; Solution'!$I$57,2)))</f>
        <v/>
      </c>
      <c r="R9" t="str">
        <f>IF(ISBLANK(C9),"",IF(D9&lt;'Summary &amp; Solution'!$I$57,1,IF(D9&gt;'Summary &amp; Solution'!$I$57,2)))</f>
        <v/>
      </c>
    </row>
    <row r="10" spans="2:18" ht="23.4" x14ac:dyDescent="0.45">
      <c r="B10" s="158">
        <f t="shared" si="2"/>
        <v>19</v>
      </c>
      <c r="C10" s="16"/>
      <c r="D10" s="16"/>
      <c r="E10" s="16" t="str">
        <f t="shared" ref="E10:E16" si="4">IF(ISBLANK(C10),"",D10-C10)</f>
        <v/>
      </c>
      <c r="F10" s="12" t="str">
        <f t="shared" si="1"/>
        <v/>
      </c>
      <c r="G10" s="23" t="str">
        <f>IF(F10="H",'Summary &amp; Solution'!$I$57-D10,"")</f>
        <v/>
      </c>
      <c r="H10" s="91" t="str">
        <f t="shared" si="3"/>
        <v/>
      </c>
      <c r="I10" s="2"/>
      <c r="J10" s="2"/>
      <c r="Q10" t="str">
        <f>IF(ISBLANK(C10),"",IF(C10&lt;'Summary &amp; Solution'!$I$57,1,IF(C10&gt;'Summary &amp; Solution'!$I$57,2)))</f>
        <v/>
      </c>
      <c r="R10" t="str">
        <f>IF(ISBLANK(C10),"",IF(D10&lt;'Summary &amp; Solution'!$I$57,1,IF(D10&gt;'Summary &amp; Solution'!$I$57,2)))</f>
        <v/>
      </c>
    </row>
    <row r="11" spans="2:18" ht="23.4" x14ac:dyDescent="0.45">
      <c r="B11" s="158">
        <f t="shared" si="2"/>
        <v>20</v>
      </c>
      <c r="C11" s="16"/>
      <c r="D11" s="16"/>
      <c r="E11" s="16" t="str">
        <f t="shared" si="4"/>
        <v/>
      </c>
      <c r="F11" s="12" t="str">
        <f t="shared" si="1"/>
        <v/>
      </c>
      <c r="G11" s="23" t="str">
        <f>IF(F11="H",'Summary &amp; Solution'!$I$57-D11,"")</f>
        <v/>
      </c>
      <c r="H11" s="91" t="str">
        <f t="shared" si="3"/>
        <v/>
      </c>
      <c r="I11" s="2"/>
      <c r="J11" s="2"/>
      <c r="Q11" t="str">
        <f>IF(ISBLANK(C11),"",IF(C11&lt;'Summary &amp; Solution'!$I$57,1,IF(C11&gt;'Summary &amp; Solution'!$I$57,2)))</f>
        <v/>
      </c>
      <c r="R11" t="str">
        <f>IF(ISBLANK(C11),"",IF(D11&lt;'Summary &amp; Solution'!$I$57,1,IF(D11&gt;'Summary &amp; Solution'!$I$57,2)))</f>
        <v/>
      </c>
    </row>
    <row r="12" spans="2:18" ht="23.4" x14ac:dyDescent="0.45">
      <c r="B12" s="158">
        <f t="shared" si="2"/>
        <v>21</v>
      </c>
      <c r="C12" s="16"/>
      <c r="D12" s="16"/>
      <c r="E12" s="16" t="str">
        <f t="shared" si="4"/>
        <v/>
      </c>
      <c r="F12" s="12" t="str">
        <f t="shared" si="1"/>
        <v/>
      </c>
      <c r="G12" s="23" t="str">
        <f>IF(F12="H",'Summary &amp; Solution'!$I$57-D12,"")</f>
        <v/>
      </c>
      <c r="H12" s="91" t="str">
        <f t="shared" si="3"/>
        <v/>
      </c>
      <c r="I12" s="2"/>
      <c r="J12" s="2"/>
      <c r="Q12" t="str">
        <f>IF(ISBLANK(C12),"",IF(C12&lt;'Summary &amp; Solution'!$I$57,1,IF(C12&gt;'Summary &amp; Solution'!$I$57,2)))</f>
        <v/>
      </c>
      <c r="R12" t="str">
        <f>IF(ISBLANK(C12),"",IF(D12&lt;'Summary &amp; Solution'!$I$57,1,IF(D12&gt;'Summary &amp; Solution'!$I$57,2)))</f>
        <v/>
      </c>
    </row>
    <row r="13" spans="2:18" ht="23.4" hidden="1" x14ac:dyDescent="0.45">
      <c r="B13" s="158">
        <f t="shared" si="2"/>
        <v>22</v>
      </c>
      <c r="C13" s="16"/>
      <c r="D13" s="16"/>
      <c r="E13" s="16" t="str">
        <f t="shared" si="4"/>
        <v/>
      </c>
      <c r="F13" s="12" t="str">
        <f t="shared" si="1"/>
        <v/>
      </c>
      <c r="G13" s="23" t="str">
        <f>IF(F13="H",'Summary &amp; Solution'!$I$57-D13,"")</f>
        <v/>
      </c>
      <c r="H13" s="91" t="str">
        <f t="shared" si="3"/>
        <v/>
      </c>
      <c r="I13" s="2"/>
      <c r="J13" s="2"/>
      <c r="Q13" t="str">
        <f>IF(ISBLANK(C13),"",IF(C13&lt;'Summary &amp; Solution'!$I$57,1,IF(C13&gt;'Summary &amp; Solution'!$I$57,2)))</f>
        <v/>
      </c>
      <c r="R13" t="str">
        <f>IF(ISBLANK(C13),"",IF(D13&lt;'Summary &amp; Solution'!$I$57,1,IF(D13&gt;'Summary &amp; Solution'!$I$57,2)))</f>
        <v/>
      </c>
    </row>
    <row r="14" spans="2:18" ht="23.4" hidden="1" x14ac:dyDescent="0.45">
      <c r="B14" s="158">
        <f t="shared" si="2"/>
        <v>23</v>
      </c>
      <c r="C14" s="16"/>
      <c r="D14" s="16"/>
      <c r="E14" s="16" t="str">
        <f t="shared" si="4"/>
        <v/>
      </c>
      <c r="F14" s="12" t="str">
        <f t="shared" si="1"/>
        <v/>
      </c>
      <c r="G14" s="23" t="str">
        <f>IF(F14="H",'Summary &amp; Solution'!$I$57-D14,"")</f>
        <v/>
      </c>
      <c r="H14" s="91" t="str">
        <f t="shared" si="3"/>
        <v/>
      </c>
      <c r="I14" s="2"/>
      <c r="J14" s="2"/>
      <c r="Q14" t="str">
        <f>IF(ISBLANK(C14),"",IF(C14&lt;'Summary &amp; Solution'!$I$57,1,IF(C14&gt;'Summary &amp; Solution'!$I$57,2)))</f>
        <v/>
      </c>
      <c r="R14" t="str">
        <f>IF(ISBLANK(C14),"",IF(D14&lt;'Summary &amp; Solution'!$I$57,1,IF(D14&gt;'Summary &amp; Solution'!$I$57,2)))</f>
        <v/>
      </c>
    </row>
    <row r="15" spans="2:18" ht="23.4" hidden="1" x14ac:dyDescent="0.45">
      <c r="B15" s="158">
        <f t="shared" si="2"/>
        <v>24</v>
      </c>
      <c r="C15" s="16"/>
      <c r="D15" s="16"/>
      <c r="E15" s="16" t="str">
        <f t="shared" si="4"/>
        <v/>
      </c>
      <c r="F15" s="12" t="str">
        <f t="shared" si="1"/>
        <v/>
      </c>
      <c r="G15" s="23" t="str">
        <f>IF(F15="H",'Summary &amp; Solution'!$I$57-D15,"")</f>
        <v/>
      </c>
      <c r="H15" s="91" t="str">
        <f t="shared" si="3"/>
        <v/>
      </c>
      <c r="I15" s="2"/>
      <c r="J15" s="2"/>
      <c r="Q15" t="str">
        <f>IF(ISBLANK(C15),"",IF(C15&lt;'Summary &amp; Solution'!$I$57,1,IF(C15&gt;'Summary &amp; Solution'!$I$57,2)))</f>
        <v/>
      </c>
      <c r="R15" t="str">
        <f>IF(ISBLANK(C15),"",IF(D15&lt;'Summary &amp; Solution'!$I$57,1,IF(D15&gt;'Summary &amp; Solution'!$I$57,2)))</f>
        <v/>
      </c>
    </row>
    <row r="16" spans="2:18" ht="23.4" hidden="1" x14ac:dyDescent="0.45">
      <c r="B16" s="158">
        <f t="shared" si="2"/>
        <v>25</v>
      </c>
      <c r="C16" s="16"/>
      <c r="D16" s="16"/>
      <c r="E16" s="16" t="str">
        <f t="shared" si="4"/>
        <v/>
      </c>
      <c r="F16" s="12" t="str">
        <f t="shared" si="1"/>
        <v/>
      </c>
      <c r="G16" s="23" t="str">
        <f>IF(F16="H",'Summary &amp; Solution'!$I$57-D16,"")</f>
        <v/>
      </c>
      <c r="H16" s="91" t="str">
        <f t="shared" si="3"/>
        <v/>
      </c>
      <c r="I16" s="2"/>
      <c r="J16" s="2"/>
      <c r="Q16" t="str">
        <f>IF(ISBLANK(C16),"",IF(C16&lt;'Summary &amp; Solution'!$I$57,1,IF(C16&gt;'Summary &amp; Solution'!$I$57,2)))</f>
        <v/>
      </c>
      <c r="R16" t="str">
        <f>IF(ISBLANK(C16),"",IF(D16&lt;'Summary &amp; Solution'!$I$57,1,IF(D16&gt;'Summary &amp; Solution'!$I$57,2)))</f>
        <v/>
      </c>
    </row>
    <row r="17" spans="2:23" ht="23.4" hidden="1" x14ac:dyDescent="0.45">
      <c r="B17" s="158">
        <f t="shared" si="2"/>
        <v>26</v>
      </c>
      <c r="C17" s="16"/>
      <c r="D17" s="16"/>
      <c r="E17" s="16" t="str">
        <f>IF(ISBLANK(C17),"",C17-D17)</f>
        <v/>
      </c>
      <c r="F17" s="12" t="str">
        <f t="shared" si="1"/>
        <v/>
      </c>
      <c r="G17" s="23" t="str">
        <f>IF(F17="H",'Summary &amp; Solution'!$I$57-D17,"")</f>
        <v/>
      </c>
      <c r="H17" s="91" t="str">
        <f t="shared" si="3"/>
        <v/>
      </c>
      <c r="I17" s="2"/>
      <c r="J17" s="2"/>
      <c r="Q17" t="str">
        <f>IF(ISBLANK(C17),"",IF(C17&lt;'Summary &amp; Solution'!$I$57,1,IF(C17&gt;'Summary &amp; Solution'!$I$57,2)))</f>
        <v/>
      </c>
      <c r="R17" t="str">
        <f>IF(ISBLANK(C17),"",IF(D17&lt;'Summary &amp; Solution'!$I$57,1,IF(D17&gt;'Summary &amp; Solution'!$I$57,2)))</f>
        <v/>
      </c>
    </row>
    <row r="18" spans="2:23" ht="23.4" x14ac:dyDescent="0.45">
      <c r="B18" s="125" t="s">
        <v>15</v>
      </c>
      <c r="C18" s="16">
        <f>IF(SUM(C3:C17)&gt;0,AVERAGEA(C3:C17),0)</f>
        <v>0</v>
      </c>
      <c r="D18" s="16">
        <f>IF(SUM(D3:D17)&gt;0,AVERAGEA(D3:D17),0)</f>
        <v>0</v>
      </c>
      <c r="E18" s="16">
        <f>AVERAGEA(E3:E17)</f>
        <v>0</v>
      </c>
      <c r="F18" s="30" t="str">
        <f>IF(G18&lt;0,"Cursed:","Winner!")</f>
        <v>Winner!</v>
      </c>
      <c r="G18" s="23">
        <f>SUM(G3:G17)</f>
        <v>0</v>
      </c>
      <c r="H18" s="92">
        <f>SUM(H3:H17)</f>
        <v>0</v>
      </c>
      <c r="I18" s="8"/>
      <c r="J18" s="2"/>
      <c r="V18" s="24"/>
      <c r="W18" s="24"/>
    </row>
    <row r="19" spans="2:23" ht="23.4" x14ac:dyDescent="0.45">
      <c r="B19" s="125" t="s">
        <v>16</v>
      </c>
      <c r="C19" s="16" t="str">
        <f>IF(SUM(C3:C17)&gt;0,STDEVPA(C3:C17),"")</f>
        <v/>
      </c>
      <c r="D19" s="16" t="str">
        <f>IF(SUM(D3:D17)&gt;0,STDEVPA(D3:D17),"")</f>
        <v/>
      </c>
      <c r="E19" s="16">
        <f>STDEVPA(E3:E17)</f>
        <v>0</v>
      </c>
      <c r="F19" s="12"/>
      <c r="G19" s="23"/>
      <c r="H19" s="93"/>
      <c r="I19" s="8"/>
      <c r="J19" s="2"/>
    </row>
    <row r="20" spans="2:23" ht="23.4" x14ac:dyDescent="0.45">
      <c r="B20" s="125" t="s">
        <v>42</v>
      </c>
      <c r="C20" s="16" t="e">
        <f>MEDIAN(C3:C17)</f>
        <v>#NUM!</v>
      </c>
      <c r="D20" s="16" t="e">
        <f>MEDIAN(D3:D17)</f>
        <v>#NUM!</v>
      </c>
      <c r="E20" s="16" t="e">
        <f>MEDIAN(E3:E17)</f>
        <v>#NUM!</v>
      </c>
      <c r="F20" s="12"/>
      <c r="G20" s="23"/>
      <c r="H20" s="93"/>
      <c r="I20" s="8"/>
      <c r="J20" s="2"/>
    </row>
    <row r="21" spans="2:23" ht="23.4" x14ac:dyDescent="0.45">
      <c r="B21" s="125" t="s">
        <v>18</v>
      </c>
      <c r="C21" s="17">
        <f>COUNTIF(Q$3:Q$17,"=1")</f>
        <v>0</v>
      </c>
      <c r="D21" s="17">
        <f>COUNTIF(R$3:R$17,"=1")</f>
        <v>0</v>
      </c>
      <c r="E21" s="17"/>
      <c r="F21" s="12"/>
      <c r="G21" s="23"/>
      <c r="H21" s="93"/>
      <c r="I21" s="2"/>
      <c r="J21" s="2"/>
    </row>
    <row r="22" spans="2:23" ht="24" thickBot="1" x14ac:dyDescent="0.5">
      <c r="B22" s="159" t="s">
        <v>19</v>
      </c>
      <c r="C22" s="94">
        <f>COUNTIF(Q$3:Q$17,"=2")</f>
        <v>0</v>
      </c>
      <c r="D22" s="94">
        <f>COUNTIF(R$3:R$17,"=2")</f>
        <v>0</v>
      </c>
      <c r="E22" s="94"/>
      <c r="F22" s="95"/>
      <c r="G22" s="96"/>
      <c r="H22" s="97"/>
      <c r="I22" s="2"/>
      <c r="J22" s="2"/>
    </row>
    <row r="34" spans="2:6" x14ac:dyDescent="0.25">
      <c r="B34" t="s">
        <v>91</v>
      </c>
      <c r="C34" s="106">
        <f>COUNTIF(C3:C17,"&gt;0")</f>
        <v>0</v>
      </c>
    </row>
    <row r="43" spans="2:6" ht="23.4" x14ac:dyDescent="0.45">
      <c r="B43" s="35" t="str">
        <f t="shared" ref="B43:B58" si="5">B2</f>
        <v>Team</v>
      </c>
      <c r="C43" s="40" t="str">
        <f t="shared" ref="C43:C58" si="6">D2</f>
        <v>Bid</v>
      </c>
      <c r="D43" s="41" t="s">
        <v>45</v>
      </c>
      <c r="E43" s="41" t="s">
        <v>48</v>
      </c>
    </row>
    <row r="44" spans="2:6" ht="23.4" x14ac:dyDescent="0.45">
      <c r="B44" s="38">
        <f t="shared" si="5"/>
        <v>12</v>
      </c>
      <c r="C44" s="39">
        <f t="shared" si="6"/>
        <v>0</v>
      </c>
      <c r="D44" s="39"/>
      <c r="E44" s="39">
        <f>MAX(C44:D44)</f>
        <v>0</v>
      </c>
      <c r="F44" s="42" t="str">
        <f t="shared" ref="F44:F58" si="7">IF(MAX(C44:D44)=C$64,"Winner!","")</f>
        <v>Winner!</v>
      </c>
    </row>
    <row r="45" spans="2:6" ht="23.4" x14ac:dyDescent="0.45">
      <c r="B45" s="36">
        <f t="shared" si="5"/>
        <v>13</v>
      </c>
      <c r="C45" s="39">
        <f t="shared" si="6"/>
        <v>0</v>
      </c>
      <c r="D45" s="39"/>
      <c r="E45" s="39">
        <f t="shared" ref="E45:E58" si="8">MAX(C45:D45)</f>
        <v>0</v>
      </c>
      <c r="F45" s="42" t="str">
        <f t="shared" si="7"/>
        <v>Winner!</v>
      </c>
    </row>
    <row r="46" spans="2:6" ht="23.4" x14ac:dyDescent="0.45">
      <c r="B46" s="36">
        <f t="shared" si="5"/>
        <v>14</v>
      </c>
      <c r="C46" s="39">
        <f t="shared" si="6"/>
        <v>0</v>
      </c>
      <c r="D46" s="39"/>
      <c r="E46" s="39">
        <f t="shared" si="8"/>
        <v>0</v>
      </c>
      <c r="F46" s="42" t="str">
        <f t="shared" si="7"/>
        <v>Winner!</v>
      </c>
    </row>
    <row r="47" spans="2:6" ht="23.4" x14ac:dyDescent="0.45">
      <c r="B47" s="36">
        <f t="shared" si="5"/>
        <v>15</v>
      </c>
      <c r="C47" s="39">
        <f t="shared" si="6"/>
        <v>0</v>
      </c>
      <c r="D47" s="39"/>
      <c r="E47" s="39">
        <f t="shared" si="8"/>
        <v>0</v>
      </c>
      <c r="F47" s="42" t="str">
        <f t="shared" si="7"/>
        <v>Winner!</v>
      </c>
    </row>
    <row r="48" spans="2:6" ht="23.4" hidden="1" x14ac:dyDescent="0.45">
      <c r="B48" s="36">
        <f t="shared" si="5"/>
        <v>16</v>
      </c>
      <c r="C48" s="39">
        <f t="shared" si="6"/>
        <v>0</v>
      </c>
      <c r="D48" s="39"/>
      <c r="E48" s="39">
        <f t="shared" si="8"/>
        <v>0</v>
      </c>
      <c r="F48" s="42" t="str">
        <f t="shared" si="7"/>
        <v>Winner!</v>
      </c>
    </row>
    <row r="49" spans="2:6" ht="23.4" hidden="1" x14ac:dyDescent="0.45">
      <c r="B49" s="36">
        <f t="shared" si="5"/>
        <v>17</v>
      </c>
      <c r="C49" s="39">
        <f t="shared" si="6"/>
        <v>0</v>
      </c>
      <c r="D49" s="39"/>
      <c r="E49" s="39">
        <f t="shared" si="8"/>
        <v>0</v>
      </c>
      <c r="F49" s="42" t="str">
        <f t="shared" si="7"/>
        <v>Winner!</v>
      </c>
    </row>
    <row r="50" spans="2:6" ht="23.4" hidden="1" x14ac:dyDescent="0.45">
      <c r="B50" s="36">
        <f t="shared" si="5"/>
        <v>18</v>
      </c>
      <c r="C50" s="39">
        <f t="shared" si="6"/>
        <v>0</v>
      </c>
      <c r="D50" s="39"/>
      <c r="E50" s="39">
        <f t="shared" si="8"/>
        <v>0</v>
      </c>
      <c r="F50" s="42" t="str">
        <f t="shared" si="7"/>
        <v>Winner!</v>
      </c>
    </row>
    <row r="51" spans="2:6" ht="23.4" hidden="1" x14ac:dyDescent="0.45">
      <c r="B51" s="36">
        <f t="shared" si="5"/>
        <v>19</v>
      </c>
      <c r="C51" s="39">
        <f t="shared" si="6"/>
        <v>0</v>
      </c>
      <c r="D51" s="39"/>
      <c r="E51" s="39">
        <f t="shared" si="8"/>
        <v>0</v>
      </c>
      <c r="F51" s="42" t="str">
        <f t="shared" si="7"/>
        <v>Winner!</v>
      </c>
    </row>
    <row r="52" spans="2:6" ht="23.4" hidden="1" x14ac:dyDescent="0.45">
      <c r="B52" s="36">
        <f t="shared" si="5"/>
        <v>20</v>
      </c>
      <c r="C52" s="39">
        <f t="shared" si="6"/>
        <v>0</v>
      </c>
      <c r="D52" s="39"/>
      <c r="E52" s="39">
        <f t="shared" si="8"/>
        <v>0</v>
      </c>
      <c r="F52" s="42" t="str">
        <f t="shared" si="7"/>
        <v>Winner!</v>
      </c>
    </row>
    <row r="53" spans="2:6" ht="23.4" hidden="1" x14ac:dyDescent="0.45">
      <c r="B53" s="36">
        <f t="shared" si="5"/>
        <v>21</v>
      </c>
      <c r="C53" s="39">
        <f t="shared" si="6"/>
        <v>0</v>
      </c>
      <c r="D53" s="39"/>
      <c r="E53" s="39">
        <f t="shared" si="8"/>
        <v>0</v>
      </c>
      <c r="F53" s="42" t="str">
        <f t="shared" si="7"/>
        <v>Winner!</v>
      </c>
    </row>
    <row r="54" spans="2:6" ht="23.4" hidden="1" x14ac:dyDescent="0.45">
      <c r="B54" s="36">
        <f t="shared" si="5"/>
        <v>22</v>
      </c>
      <c r="C54" s="39">
        <f t="shared" si="6"/>
        <v>0</v>
      </c>
      <c r="D54" s="39"/>
      <c r="E54" s="39">
        <f t="shared" si="8"/>
        <v>0</v>
      </c>
      <c r="F54" s="42" t="str">
        <f t="shared" si="7"/>
        <v>Winner!</v>
      </c>
    </row>
    <row r="55" spans="2:6" ht="23.4" hidden="1" x14ac:dyDescent="0.45">
      <c r="B55" s="36">
        <f t="shared" si="5"/>
        <v>23</v>
      </c>
      <c r="C55" s="39">
        <f t="shared" si="6"/>
        <v>0</v>
      </c>
      <c r="D55" s="39"/>
      <c r="E55" s="39">
        <f t="shared" si="8"/>
        <v>0</v>
      </c>
      <c r="F55" s="42" t="str">
        <f t="shared" si="7"/>
        <v>Winner!</v>
      </c>
    </row>
    <row r="56" spans="2:6" ht="23.4" hidden="1" x14ac:dyDescent="0.45">
      <c r="B56" s="36">
        <f t="shared" si="5"/>
        <v>24</v>
      </c>
      <c r="C56" s="39">
        <f t="shared" si="6"/>
        <v>0</v>
      </c>
      <c r="D56" s="39"/>
      <c r="E56" s="39">
        <f t="shared" si="8"/>
        <v>0</v>
      </c>
      <c r="F56" s="42" t="str">
        <f t="shared" si="7"/>
        <v>Winner!</v>
      </c>
    </row>
    <row r="57" spans="2:6" ht="23.4" hidden="1" x14ac:dyDescent="0.45">
      <c r="B57" s="37">
        <f t="shared" si="5"/>
        <v>25</v>
      </c>
      <c r="C57" s="39">
        <f t="shared" si="6"/>
        <v>0</v>
      </c>
      <c r="D57" s="39"/>
      <c r="E57" s="39">
        <f t="shared" si="8"/>
        <v>0</v>
      </c>
      <c r="F57" s="42" t="str">
        <f t="shared" si="7"/>
        <v>Winner!</v>
      </c>
    </row>
    <row r="58" spans="2:6" ht="23.4" hidden="1" x14ac:dyDescent="0.45">
      <c r="B58" s="37">
        <f t="shared" si="5"/>
        <v>26</v>
      </c>
      <c r="C58" s="39">
        <f t="shared" si="6"/>
        <v>0</v>
      </c>
      <c r="D58" s="39"/>
      <c r="E58" s="39">
        <f t="shared" si="8"/>
        <v>0</v>
      </c>
      <c r="F58" s="42" t="str">
        <f t="shared" si="7"/>
        <v>Winner!</v>
      </c>
    </row>
    <row r="64" spans="2:6" x14ac:dyDescent="0.25">
      <c r="C64" s="26">
        <f>MAX(C44:D59)</f>
        <v>0</v>
      </c>
    </row>
  </sheetData>
  <mergeCells count="2">
    <mergeCell ref="F2:G2"/>
    <mergeCell ref="B1:H1"/>
  </mergeCells>
  <phoneticPr fontId="0" type="noConversion"/>
  <conditionalFormatting sqref="G3:H17">
    <cfRule type="cellIs" dxfId="5" priority="1" stopIfTrue="1" operator="lessThan">
      <formula>0</formula>
    </cfRule>
    <cfRule type="cellIs" dxfId="4" priority="2" stopIfTrue="1" operator="greaterThanOrEqual">
      <formula>0</formula>
    </cfRule>
  </conditionalFormatting>
  <conditionalFormatting sqref="C18">
    <cfRule type="cellIs" dxfId="3" priority="3" stopIfTrue="1" operator="lessThan">
      <formula>$V$18</formula>
    </cfRule>
  </conditionalFormatting>
  <pageMargins left="0.75" right="0.75" top="1" bottom="1" header="0.5" footer="0.5"/>
  <pageSetup orientation="portrait" r:id="rId1"/>
  <headerFooter alignWithMargins="0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64"/>
  <sheetViews>
    <sheetView showGridLines="0" showRowColHeaders="0" topLeftCell="A2" zoomScale="138" zoomScaleNormal="138" workbookViewId="0">
      <pane xSplit="2" ySplit="2" topLeftCell="C4" activePane="bottomRight" state="frozen"/>
      <selection activeCell="A2" sqref="A2"/>
      <selection pane="topRight" activeCell="C2" sqref="C2"/>
      <selection pane="bottomLeft" activeCell="A4" sqref="A4"/>
      <selection pane="bottomRight" activeCell="A2" sqref="A2"/>
    </sheetView>
  </sheetViews>
  <sheetFormatPr defaultRowHeight="13.8" x14ac:dyDescent="0.25"/>
  <cols>
    <col min="1" max="1" width="2.75" customWidth="1"/>
    <col min="2" max="2" width="13.25" customWidth="1"/>
    <col min="3" max="3" width="13.625" customWidth="1"/>
    <col min="4" max="9" width="12.75" customWidth="1"/>
    <col min="10" max="10" width="1.75" customWidth="1"/>
  </cols>
  <sheetData>
    <row r="1" spans="2:14" ht="23.4" x14ac:dyDescent="0.45">
      <c r="B1" s="19"/>
      <c r="C1" s="19"/>
      <c r="D1" s="19"/>
      <c r="E1" s="19"/>
      <c r="F1" s="20"/>
      <c r="G1" s="21"/>
      <c r="H1" s="22"/>
      <c r="I1" s="22"/>
    </row>
    <row r="2" spans="2:14" ht="34.799999999999997" x14ac:dyDescent="0.55000000000000004">
      <c r="B2" s="174" t="s">
        <v>105</v>
      </c>
      <c r="C2" s="175"/>
      <c r="D2" s="175"/>
      <c r="E2" s="175"/>
      <c r="F2" s="175"/>
      <c r="G2" s="175"/>
      <c r="H2" s="2"/>
      <c r="I2" s="2"/>
    </row>
    <row r="3" spans="2:14" ht="23.4" x14ac:dyDescent="0.45">
      <c r="B3" s="149" t="s">
        <v>14</v>
      </c>
      <c r="C3" s="133" t="s">
        <v>12</v>
      </c>
      <c r="D3" s="133" t="s">
        <v>13</v>
      </c>
      <c r="E3" s="133" t="s">
        <v>20</v>
      </c>
      <c r="F3" s="176" t="s">
        <v>24</v>
      </c>
      <c r="G3" s="177"/>
      <c r="H3" s="2"/>
      <c r="I3" s="2"/>
    </row>
    <row r="4" spans="2:14" ht="23.4" x14ac:dyDescent="0.45">
      <c r="B4" s="160">
        <v>1</v>
      </c>
      <c r="C4" s="16">
        <v>18</v>
      </c>
      <c r="D4" s="16">
        <v>16.91</v>
      </c>
      <c r="E4" s="16">
        <f t="shared" ref="E4:E9" si="0">IF(ISBLANK(C4),"",D4-C4)</f>
        <v>-1.0899999999999999</v>
      </c>
      <c r="F4" s="12" t="str">
        <f t="shared" ref="F4:F18" si="1">IF(ISBLANK(C4),"",IF(D4=MAX(D$4:D$18),"H",""))</f>
        <v/>
      </c>
      <c r="G4" s="23" t="str">
        <f>IF(F4="H",'Summary &amp; Solution'!$I$57-D4,"")</f>
        <v/>
      </c>
      <c r="H4" s="2"/>
      <c r="I4" s="2"/>
      <c r="K4">
        <f>IF(ISBLANK(C4),"",IF(C4&lt;'Summary &amp; Solution'!$I$57,1,IF(C4&gt;'Summary &amp; Solution'!$I$57,2)))</f>
        <v>2</v>
      </c>
      <c r="L4">
        <f>IF(ISBLANK(C4),"",IF(D4&lt;'Summary &amp; Solution'!$I$57,1,IF(D4&gt;'Summary &amp; Solution'!$I$57,2)))</f>
        <v>2</v>
      </c>
      <c r="N4">
        <f>IF(C4&gt;0,1,0)</f>
        <v>1</v>
      </c>
    </row>
    <row r="5" spans="2:14" ht="23.4" x14ac:dyDescent="0.45">
      <c r="B5" s="160">
        <f>B4+1</f>
        <v>2</v>
      </c>
      <c r="C5" s="16">
        <v>9.67</v>
      </c>
      <c r="D5" s="16">
        <v>12.86</v>
      </c>
      <c r="E5" s="16">
        <f t="shared" si="0"/>
        <v>3.1899999999999995</v>
      </c>
      <c r="F5" s="12" t="str">
        <f t="shared" si="1"/>
        <v/>
      </c>
      <c r="G5" s="23" t="str">
        <f>IF(F5="H",'Summary &amp; Solution'!$I$57-D5,"")</f>
        <v/>
      </c>
      <c r="H5" s="2"/>
      <c r="I5" s="2"/>
      <c r="K5">
        <f>IF(ISBLANK(C5),"",IF(C5&lt;'Summary &amp; Solution'!$I$57,1,IF(C5&gt;'Summary &amp; Solution'!$I$57,2)))</f>
        <v>1</v>
      </c>
      <c r="L5">
        <f>IF(ISBLANK(C5),"",IF(D5&lt;'Summary &amp; Solution'!$I$57,1,IF(D5&gt;'Summary &amp; Solution'!$I$57,2)))</f>
        <v>1</v>
      </c>
      <c r="N5">
        <f t="shared" ref="N5:N18" si="2">IF(C5&gt;0,1,0)</f>
        <v>1</v>
      </c>
    </row>
    <row r="6" spans="2:14" ht="23.4" x14ac:dyDescent="0.45">
      <c r="B6" s="160">
        <f t="shared" ref="B6:B18" si="3">B5+1</f>
        <v>3</v>
      </c>
      <c r="C6" s="16">
        <v>11.25</v>
      </c>
      <c r="D6" s="16">
        <v>11</v>
      </c>
      <c r="E6" s="16">
        <f t="shared" si="0"/>
        <v>-0.25</v>
      </c>
      <c r="F6" s="12" t="str">
        <f t="shared" si="1"/>
        <v/>
      </c>
      <c r="G6" s="23" t="str">
        <f>IF(F6="H",'Summary &amp; Solution'!$I$57-D6,"")</f>
        <v/>
      </c>
      <c r="H6" s="2"/>
      <c r="I6" s="2"/>
      <c r="K6">
        <f>IF(ISBLANK(C6),"",IF(C6&lt;'Summary &amp; Solution'!$I$57,1,IF(C6&gt;'Summary &amp; Solution'!$I$57,2)))</f>
        <v>1</v>
      </c>
      <c r="L6">
        <f>IF(ISBLANK(C6),"",IF(D6&lt;'Summary &amp; Solution'!$I$57,1,IF(D6&gt;'Summary &amp; Solution'!$I$57,2)))</f>
        <v>1</v>
      </c>
      <c r="N6">
        <f t="shared" si="2"/>
        <v>1</v>
      </c>
    </row>
    <row r="7" spans="2:14" ht="23.4" x14ac:dyDescent="0.45">
      <c r="B7" s="160">
        <f t="shared" si="3"/>
        <v>4</v>
      </c>
      <c r="C7" s="16">
        <v>30.15</v>
      </c>
      <c r="D7" s="16">
        <v>20.25</v>
      </c>
      <c r="E7" s="16">
        <f t="shared" si="0"/>
        <v>-9.8999999999999986</v>
      </c>
      <c r="F7" s="12" t="str">
        <f t="shared" si="1"/>
        <v/>
      </c>
      <c r="G7" s="23" t="str">
        <f>IF(F7="H",'Summary &amp; Solution'!$I$57-D7,"")</f>
        <v/>
      </c>
      <c r="H7" s="2"/>
      <c r="I7" s="2"/>
      <c r="K7">
        <f>IF(ISBLANK(C7),"",IF(C7&lt;'Summary &amp; Solution'!$I$57,1,IF(C7&gt;'Summary &amp; Solution'!$I$57,2)))</f>
        <v>2</v>
      </c>
      <c r="L7">
        <f>IF(ISBLANK(C7),"",IF(D7&lt;'Summary &amp; Solution'!$I$57,1,IF(D7&gt;'Summary &amp; Solution'!$I$57,2)))</f>
        <v>2</v>
      </c>
      <c r="N7">
        <f t="shared" si="2"/>
        <v>1</v>
      </c>
    </row>
    <row r="8" spans="2:14" ht="23.4" x14ac:dyDescent="0.45">
      <c r="B8" s="160">
        <f t="shared" si="3"/>
        <v>5</v>
      </c>
      <c r="C8" s="16">
        <v>15.8</v>
      </c>
      <c r="D8" s="16">
        <v>14</v>
      </c>
      <c r="E8" s="16">
        <f t="shared" si="0"/>
        <v>-1.8000000000000007</v>
      </c>
      <c r="F8" s="12" t="str">
        <f t="shared" si="1"/>
        <v/>
      </c>
      <c r="G8" s="23" t="str">
        <f>IF(F8="H",'Summary &amp; Solution'!$I$57-D8,"")</f>
        <v/>
      </c>
      <c r="H8" s="2"/>
      <c r="I8" s="2"/>
      <c r="K8">
        <f>IF(ISBLANK(C8),"",IF(C8&lt;'Summary &amp; Solution'!$I$57,1,IF(C8&gt;'Summary &amp; Solution'!$I$57,2)))</f>
        <v>2</v>
      </c>
      <c r="L8">
        <f>IF(ISBLANK(C8),"",IF(D8&lt;'Summary &amp; Solution'!$I$57,1,IF(D8&gt;'Summary &amp; Solution'!$I$57,2)))</f>
        <v>1</v>
      </c>
      <c r="N8">
        <f t="shared" si="2"/>
        <v>1</v>
      </c>
    </row>
    <row r="9" spans="2:14" ht="23.4" x14ac:dyDescent="0.45">
      <c r="B9" s="160">
        <f t="shared" si="3"/>
        <v>6</v>
      </c>
      <c r="C9" s="16">
        <v>35.35</v>
      </c>
      <c r="D9" s="16">
        <v>28.28</v>
      </c>
      <c r="E9" s="16">
        <f t="shared" si="0"/>
        <v>-7.07</v>
      </c>
      <c r="F9" s="12" t="str">
        <f t="shared" si="1"/>
        <v>H</v>
      </c>
      <c r="G9" s="23">
        <f>IF(F9="H",'Summary &amp; Solution'!$I$57-D9,"")</f>
        <v>-13.440000000000001</v>
      </c>
      <c r="H9" s="2"/>
      <c r="I9" s="2"/>
      <c r="K9">
        <f>IF(ISBLANK(C9),"",IF(C9&lt;'Summary &amp; Solution'!$I$57,1,IF(C9&gt;'Summary &amp; Solution'!$I$57,2)))</f>
        <v>2</v>
      </c>
      <c r="L9">
        <f>IF(ISBLANK(C9),"",IF(D9&lt;'Summary &amp; Solution'!$I$57,1,IF(D9&gt;'Summary &amp; Solution'!$I$57,2)))</f>
        <v>2</v>
      </c>
      <c r="N9">
        <f t="shared" si="2"/>
        <v>1</v>
      </c>
    </row>
    <row r="10" spans="2:14" ht="23.4" x14ac:dyDescent="0.45">
      <c r="B10" s="160">
        <f t="shared" si="3"/>
        <v>7</v>
      </c>
      <c r="C10" s="16">
        <v>22.23</v>
      </c>
      <c r="D10" s="16">
        <v>22.24</v>
      </c>
      <c r="E10" s="16">
        <f t="shared" ref="E10:E15" si="4">IF(ISBLANK(C10),"",D10-C10)</f>
        <v>9.9999999999980105E-3</v>
      </c>
      <c r="F10" s="12" t="str">
        <f t="shared" si="1"/>
        <v/>
      </c>
      <c r="G10" s="23" t="str">
        <f>IF(F10="H",'Summary &amp; Solution'!$I$57-D10,"")</f>
        <v/>
      </c>
      <c r="H10" s="2"/>
      <c r="I10" s="2"/>
      <c r="K10">
        <f>IF(ISBLANK(C10),"",IF(C10&lt;'Summary &amp; Solution'!$I$57,1,IF(C10&gt;'Summary &amp; Solution'!$I$57,2)))</f>
        <v>2</v>
      </c>
      <c r="L10">
        <f>IF(ISBLANK(C10),"",IF(D10&lt;'Summary &amp; Solution'!$I$57,1,IF(D10&gt;'Summary &amp; Solution'!$I$57,2)))</f>
        <v>2</v>
      </c>
      <c r="N10">
        <f t="shared" si="2"/>
        <v>1</v>
      </c>
    </row>
    <row r="11" spans="2:14" ht="23.4" hidden="1" x14ac:dyDescent="0.45">
      <c r="B11" s="160">
        <f t="shared" si="3"/>
        <v>8</v>
      </c>
      <c r="C11" s="16"/>
      <c r="D11" s="16"/>
      <c r="E11" s="16" t="str">
        <f t="shared" si="4"/>
        <v/>
      </c>
      <c r="F11" s="12" t="str">
        <f t="shared" si="1"/>
        <v/>
      </c>
      <c r="G11" s="23" t="str">
        <f>IF(F11="H",'Summary &amp; Solution'!$I$57-D11,"")</f>
        <v/>
      </c>
      <c r="H11" s="2"/>
      <c r="I11" s="2"/>
      <c r="K11" t="str">
        <f>IF(ISBLANK(C11),"",IF(C11&lt;'Summary &amp; Solution'!$I$57,1,IF(C11&gt;'Summary &amp; Solution'!$I$57,2)))</f>
        <v/>
      </c>
      <c r="L11" t="str">
        <f>IF(ISBLANK(C11),"",IF(D11&lt;'Summary &amp; Solution'!$I$57,1,IF(D11&gt;'Summary &amp; Solution'!$I$57,2)))</f>
        <v/>
      </c>
      <c r="N11">
        <f t="shared" si="2"/>
        <v>0</v>
      </c>
    </row>
    <row r="12" spans="2:14" ht="23.4" hidden="1" x14ac:dyDescent="0.45">
      <c r="B12" s="160">
        <f t="shared" si="3"/>
        <v>9</v>
      </c>
      <c r="C12" s="16"/>
      <c r="D12" s="16"/>
      <c r="E12" s="16" t="str">
        <f t="shared" si="4"/>
        <v/>
      </c>
      <c r="F12" s="12" t="str">
        <f t="shared" si="1"/>
        <v/>
      </c>
      <c r="G12" s="23" t="str">
        <f>IF(F12="H",'Summary &amp; Solution'!$I$57-D12,"")</f>
        <v/>
      </c>
      <c r="H12" s="2"/>
      <c r="I12" s="2"/>
      <c r="K12" t="str">
        <f>IF(ISBLANK(C12),"",IF(C12&lt;'Summary &amp; Solution'!$I$57,1,IF(C12&gt;'Summary &amp; Solution'!$I$57,2)))</f>
        <v/>
      </c>
      <c r="L12" t="str">
        <f>IF(ISBLANK(C12),"",IF(D12&lt;'Summary &amp; Solution'!$I$57,1,IF(D12&gt;'Summary &amp; Solution'!$I$57,2)))</f>
        <v/>
      </c>
      <c r="N12">
        <f t="shared" si="2"/>
        <v>0</v>
      </c>
    </row>
    <row r="13" spans="2:14" ht="23.4" hidden="1" x14ac:dyDescent="0.45">
      <c r="B13" s="160">
        <f t="shared" si="3"/>
        <v>10</v>
      </c>
      <c r="C13" s="16"/>
      <c r="D13" s="16"/>
      <c r="E13" s="16" t="str">
        <f t="shared" si="4"/>
        <v/>
      </c>
      <c r="F13" s="12" t="str">
        <f t="shared" si="1"/>
        <v/>
      </c>
      <c r="G13" s="23" t="str">
        <f>IF(F13="H",'Summary &amp; Solution'!$I$57-D13,"")</f>
        <v/>
      </c>
      <c r="H13" s="2"/>
      <c r="I13" s="2"/>
      <c r="K13" t="str">
        <f>IF(ISBLANK(C13),"",IF(C13&lt;'Summary &amp; Solution'!$I$57,1,IF(C13&gt;'Summary &amp; Solution'!$I$57,2)))</f>
        <v/>
      </c>
      <c r="L13" t="str">
        <f>IF(ISBLANK(C13),"",IF(D13&lt;'Summary &amp; Solution'!$I$57,1,IF(D13&gt;'Summary &amp; Solution'!$I$57,2)))</f>
        <v/>
      </c>
      <c r="N13">
        <f t="shared" si="2"/>
        <v>0</v>
      </c>
    </row>
    <row r="14" spans="2:14" ht="23.4" hidden="1" x14ac:dyDescent="0.45">
      <c r="B14" s="160">
        <f t="shared" si="3"/>
        <v>11</v>
      </c>
      <c r="C14" s="16"/>
      <c r="D14" s="16"/>
      <c r="E14" s="16" t="str">
        <f t="shared" si="4"/>
        <v/>
      </c>
      <c r="F14" s="12" t="str">
        <f t="shared" si="1"/>
        <v/>
      </c>
      <c r="G14" s="23" t="str">
        <f>IF(F14="H",'Summary &amp; Solution'!$I$57-D14,"")</f>
        <v/>
      </c>
      <c r="H14" s="2"/>
      <c r="I14" s="2"/>
      <c r="K14" t="str">
        <f>IF(ISBLANK(C14),"",IF(C14&lt;'Summary &amp; Solution'!$I$57,1,IF(C14&gt;'Summary &amp; Solution'!$I$57,2)))</f>
        <v/>
      </c>
      <c r="L14" t="str">
        <f>IF(ISBLANK(C14),"",IF(D14&lt;'Summary &amp; Solution'!$I$57,1,IF(D14&gt;'Summary &amp; Solution'!$I$57,2)))</f>
        <v/>
      </c>
      <c r="N14">
        <f t="shared" si="2"/>
        <v>0</v>
      </c>
    </row>
    <row r="15" spans="2:14" ht="23.4" hidden="1" x14ac:dyDescent="0.45">
      <c r="B15" s="160">
        <f t="shared" si="3"/>
        <v>12</v>
      </c>
      <c r="C15" s="16"/>
      <c r="D15" s="16"/>
      <c r="E15" s="16" t="str">
        <f t="shared" si="4"/>
        <v/>
      </c>
      <c r="F15" s="12" t="str">
        <f t="shared" si="1"/>
        <v/>
      </c>
      <c r="G15" s="23" t="str">
        <f>IF(F15="H",'Summary &amp; Solution'!$I$57-D15,"")</f>
        <v/>
      </c>
      <c r="H15" s="2"/>
      <c r="I15" s="2"/>
      <c r="K15" t="str">
        <f>IF(ISBLANK(C15),"",IF(C15&lt;'Summary &amp; Solution'!$I$57,1,IF(C15&gt;'Summary &amp; Solution'!$I$57,2)))</f>
        <v/>
      </c>
      <c r="L15" t="str">
        <f>IF(ISBLANK(C15),"",IF(D15&lt;'Summary &amp; Solution'!$I$57,1,IF(D15&gt;'Summary &amp; Solution'!$I$57,2)))</f>
        <v/>
      </c>
      <c r="N15">
        <f t="shared" si="2"/>
        <v>0</v>
      </c>
    </row>
    <row r="16" spans="2:14" ht="23.4" hidden="1" x14ac:dyDescent="0.45">
      <c r="B16" s="160">
        <f t="shared" si="3"/>
        <v>13</v>
      </c>
      <c r="C16" s="16"/>
      <c r="D16" s="16"/>
      <c r="E16" s="16" t="str">
        <f>IF(ISBLANK(C16),"",C16-D16)</f>
        <v/>
      </c>
      <c r="F16" s="12" t="str">
        <f t="shared" si="1"/>
        <v/>
      </c>
      <c r="G16" s="23" t="str">
        <f>IF(F16="H",'Summary &amp; Solution'!$I$57-D16,"")</f>
        <v/>
      </c>
      <c r="H16" s="2"/>
      <c r="I16" s="2"/>
      <c r="K16" t="str">
        <f>IF(ISBLANK(C16),"",IF(C16&lt;'Summary &amp; Solution'!$I$57,1,IF(C16&gt;'Summary &amp; Solution'!$I$57,2)))</f>
        <v/>
      </c>
      <c r="L16" t="str">
        <f>IF(ISBLANK(C16),"",IF(D16&lt;'Summary &amp; Solution'!$I$57,1,IF(D16&gt;'Summary &amp; Solution'!$I$57,2)))</f>
        <v/>
      </c>
      <c r="N16">
        <f t="shared" si="2"/>
        <v>0</v>
      </c>
    </row>
    <row r="17" spans="2:14" ht="23.4" hidden="1" x14ac:dyDescent="0.45">
      <c r="B17" s="160">
        <f t="shared" si="3"/>
        <v>14</v>
      </c>
      <c r="C17" s="16"/>
      <c r="D17" s="16"/>
      <c r="E17" s="16" t="str">
        <f>IF(ISBLANK(C17),"",C17-D17)</f>
        <v/>
      </c>
      <c r="F17" s="12" t="str">
        <f t="shared" si="1"/>
        <v/>
      </c>
      <c r="G17" s="23" t="str">
        <f>IF(F17="H",'Summary &amp; Solution'!$I$57-D17,"")</f>
        <v/>
      </c>
      <c r="H17" s="2"/>
      <c r="I17" s="2"/>
      <c r="K17" t="str">
        <f>IF(ISBLANK(C17),"",IF(C17&lt;'Summary &amp; Solution'!$I$57,1,IF(C17&gt;'Summary &amp; Solution'!$I$57,2)))</f>
        <v/>
      </c>
      <c r="L17" t="str">
        <f>IF(ISBLANK(C17),"",IF(D17&lt;'Summary &amp; Solution'!$I$57,1,IF(D17&gt;'Summary &amp; Solution'!$I$57,2)))</f>
        <v/>
      </c>
      <c r="N17">
        <f t="shared" si="2"/>
        <v>0</v>
      </c>
    </row>
    <row r="18" spans="2:14" ht="23.4" hidden="1" x14ac:dyDescent="0.45">
      <c r="B18" s="160">
        <f t="shared" si="3"/>
        <v>15</v>
      </c>
      <c r="C18" s="16"/>
      <c r="D18" s="16"/>
      <c r="E18" s="16" t="str">
        <f>IF(ISBLANK(C18),"",C18-D18)</f>
        <v/>
      </c>
      <c r="F18" s="12" t="str">
        <f t="shared" si="1"/>
        <v/>
      </c>
      <c r="G18" s="23" t="str">
        <f>IF(F18="H",'Summary &amp; Solution'!$I$57-D18,"")</f>
        <v/>
      </c>
      <c r="H18" s="2"/>
      <c r="I18" s="2"/>
      <c r="K18" t="str">
        <f>IF(ISBLANK(C18),"",IF(C18&lt;'Summary &amp; Solution'!$I$57,1,IF(C18&gt;'Summary &amp; Solution'!$I$57,2)))</f>
        <v/>
      </c>
      <c r="L18" t="str">
        <f>IF(ISBLANK(C18),"",IF(D18&lt;'Summary &amp; Solution'!$I$57,1,IF(D18&gt;'Summary &amp; Solution'!$I$57,2)))</f>
        <v/>
      </c>
      <c r="N18">
        <f t="shared" si="2"/>
        <v>0</v>
      </c>
    </row>
    <row r="19" spans="2:14" ht="23.4" x14ac:dyDescent="0.45">
      <c r="B19" s="149" t="s">
        <v>15</v>
      </c>
      <c r="C19" s="16">
        <f>IF(SUM(C4:C18)&gt;0,AVERAGEA(C4:C18),0)</f>
        <v>20.349999999999998</v>
      </c>
      <c r="D19" s="16">
        <f>IF(SUM(D4:D18)&gt;0,AVERAGEA(D4:D18),0)</f>
        <v>17.934285714285714</v>
      </c>
      <c r="E19" s="16">
        <f>AVERAGEA(E4:E18)</f>
        <v>-1.1273333333333335</v>
      </c>
      <c r="F19" s="30" t="str">
        <f>IF(G19&lt;0,"Cursed:","Winner!")</f>
        <v>Cursed:</v>
      </c>
      <c r="G19" s="23">
        <f>SUM(G4:G18)</f>
        <v>-13.440000000000001</v>
      </c>
      <c r="H19" s="8"/>
      <c r="I19" s="2"/>
      <c r="M19" t="s">
        <v>37</v>
      </c>
      <c r="N19">
        <f>SUM(N4:N18)</f>
        <v>7</v>
      </c>
    </row>
    <row r="20" spans="2:14" ht="23.4" x14ac:dyDescent="0.45">
      <c r="B20" s="149" t="s">
        <v>16</v>
      </c>
      <c r="C20" s="16">
        <f>IF(SUM(C4:C18)&gt;0,STDEVPA(C4:C18),"")</f>
        <v>8.8452715374616204</v>
      </c>
      <c r="D20" s="16">
        <f>IF(SUM(D4:D18)&gt;0,STDEVPA(D4:D18),"")</f>
        <v>5.6226070647059894</v>
      </c>
      <c r="E20" s="16">
        <f>STDEVPA(E4:E18)</f>
        <v>3.0940641378111233</v>
      </c>
      <c r="F20" s="12"/>
      <c r="G20" s="23"/>
      <c r="H20" s="8"/>
      <c r="I20" s="2"/>
    </row>
    <row r="21" spans="2:14" ht="23.4" x14ac:dyDescent="0.45">
      <c r="B21" s="149" t="s">
        <v>42</v>
      </c>
      <c r="C21" s="16">
        <f>MEDIAN(C4:C18)</f>
        <v>18</v>
      </c>
      <c r="D21" s="16">
        <f>MEDIAN(D4:D18)</f>
        <v>16.91</v>
      </c>
      <c r="E21" s="16">
        <f>MEDIAN(E4:E18)</f>
        <v>-1.0899999999999999</v>
      </c>
      <c r="F21" s="12"/>
      <c r="G21" s="23"/>
      <c r="H21" s="8"/>
      <c r="I21" s="2"/>
    </row>
    <row r="22" spans="2:14" ht="23.4" x14ac:dyDescent="0.45">
      <c r="B22" s="161" t="s">
        <v>18</v>
      </c>
      <c r="C22" s="17">
        <f>COUNTIF(K$4:K$18,"=1")</f>
        <v>2</v>
      </c>
      <c r="D22" s="17">
        <f>COUNTIF(L$4:L$18,"=1")</f>
        <v>3</v>
      </c>
      <c r="E22" s="17"/>
      <c r="F22" s="12"/>
      <c r="G22" s="23"/>
      <c r="H22" s="2"/>
      <c r="I22" s="2"/>
    </row>
    <row r="23" spans="2:14" ht="23.4" x14ac:dyDescent="0.45">
      <c r="B23" s="149" t="s">
        <v>19</v>
      </c>
      <c r="C23" s="17">
        <f>COUNTIF(K$4:K$18,"=2")</f>
        <v>5</v>
      </c>
      <c r="D23" s="17">
        <f>COUNTIF(L$4:L$18,"=2")</f>
        <v>4</v>
      </c>
      <c r="E23" s="17"/>
      <c r="F23" s="12"/>
      <c r="G23" s="23"/>
      <c r="H23" s="2"/>
      <c r="I23" s="2"/>
    </row>
    <row r="43" spans="2:6" ht="23.4" x14ac:dyDescent="0.45">
      <c r="B43" s="35" t="str">
        <f t="shared" ref="B43:B58" si="5">B3</f>
        <v>Team</v>
      </c>
      <c r="C43" s="40" t="str">
        <f t="shared" ref="C43:C58" si="6">D3</f>
        <v>Bid</v>
      </c>
      <c r="D43" s="41" t="s">
        <v>45</v>
      </c>
      <c r="E43" s="41" t="s">
        <v>48</v>
      </c>
    </row>
    <row r="44" spans="2:6" ht="23.4" x14ac:dyDescent="0.45">
      <c r="B44" s="38">
        <f t="shared" si="5"/>
        <v>1</v>
      </c>
      <c r="C44" s="39">
        <f t="shared" si="6"/>
        <v>16.91</v>
      </c>
      <c r="D44" s="39"/>
      <c r="E44" s="39">
        <f>MAX(C44:D44)</f>
        <v>16.91</v>
      </c>
      <c r="F44" s="42" t="str">
        <f t="shared" ref="F44:F58" si="7">IF(MAX(C44:D44)=C$64,"Winner!","")</f>
        <v/>
      </c>
    </row>
    <row r="45" spans="2:6" ht="23.4" x14ac:dyDescent="0.45">
      <c r="B45" s="36">
        <f t="shared" si="5"/>
        <v>2</v>
      </c>
      <c r="C45" s="39">
        <f t="shared" si="6"/>
        <v>12.86</v>
      </c>
      <c r="D45" s="39"/>
      <c r="E45" s="39">
        <f t="shared" ref="E45:E58" si="8">MAX(C45:D45)</f>
        <v>12.86</v>
      </c>
      <c r="F45" s="42" t="str">
        <f t="shared" si="7"/>
        <v/>
      </c>
    </row>
    <row r="46" spans="2:6" ht="23.4" x14ac:dyDescent="0.45">
      <c r="B46" s="36">
        <f t="shared" si="5"/>
        <v>3</v>
      </c>
      <c r="C46" s="39">
        <f t="shared" si="6"/>
        <v>11</v>
      </c>
      <c r="D46" s="39"/>
      <c r="E46" s="39">
        <f t="shared" si="8"/>
        <v>11</v>
      </c>
      <c r="F46" s="42" t="str">
        <f t="shared" si="7"/>
        <v/>
      </c>
    </row>
    <row r="47" spans="2:6" ht="23.4" x14ac:dyDescent="0.45">
      <c r="B47" s="36">
        <f t="shared" si="5"/>
        <v>4</v>
      </c>
      <c r="C47" s="39">
        <f t="shared" si="6"/>
        <v>20.25</v>
      </c>
      <c r="D47" s="39"/>
      <c r="E47" s="39">
        <f t="shared" si="8"/>
        <v>20.25</v>
      </c>
      <c r="F47" s="42" t="str">
        <f t="shared" si="7"/>
        <v/>
      </c>
    </row>
    <row r="48" spans="2:6" ht="23.4" x14ac:dyDescent="0.45">
      <c r="B48" s="36">
        <f t="shared" si="5"/>
        <v>5</v>
      </c>
      <c r="C48" s="39">
        <f t="shared" si="6"/>
        <v>14</v>
      </c>
      <c r="D48" s="39"/>
      <c r="E48" s="39">
        <f t="shared" si="8"/>
        <v>14</v>
      </c>
      <c r="F48" s="42" t="str">
        <f t="shared" si="7"/>
        <v/>
      </c>
    </row>
    <row r="49" spans="2:6" ht="23.4" x14ac:dyDescent="0.45">
      <c r="B49" s="36">
        <f t="shared" si="5"/>
        <v>6</v>
      </c>
      <c r="C49" s="39">
        <f t="shared" si="6"/>
        <v>28.28</v>
      </c>
      <c r="D49" s="39"/>
      <c r="E49" s="39">
        <f t="shared" si="8"/>
        <v>28.28</v>
      </c>
      <c r="F49" s="42" t="str">
        <f t="shared" si="7"/>
        <v>Winner!</v>
      </c>
    </row>
    <row r="50" spans="2:6" ht="23.4" x14ac:dyDescent="0.45">
      <c r="B50" s="36">
        <f t="shared" si="5"/>
        <v>7</v>
      </c>
      <c r="C50" s="39">
        <f t="shared" si="6"/>
        <v>22.24</v>
      </c>
      <c r="D50" s="39"/>
      <c r="E50" s="39">
        <f t="shared" si="8"/>
        <v>22.24</v>
      </c>
      <c r="F50" s="42" t="str">
        <f t="shared" si="7"/>
        <v/>
      </c>
    </row>
    <row r="51" spans="2:6" ht="23.4" x14ac:dyDescent="0.45">
      <c r="B51" s="36">
        <f t="shared" si="5"/>
        <v>8</v>
      </c>
      <c r="C51" s="39">
        <f t="shared" si="6"/>
        <v>0</v>
      </c>
      <c r="D51" s="39"/>
      <c r="E51" s="39">
        <f t="shared" si="8"/>
        <v>0</v>
      </c>
      <c r="F51" s="42" t="str">
        <f t="shared" si="7"/>
        <v/>
      </c>
    </row>
    <row r="52" spans="2:6" ht="23.4" x14ac:dyDescent="0.45">
      <c r="B52" s="36">
        <f t="shared" si="5"/>
        <v>9</v>
      </c>
      <c r="C52" s="39">
        <f t="shared" si="6"/>
        <v>0</v>
      </c>
      <c r="D52" s="39"/>
      <c r="E52" s="39">
        <f t="shared" si="8"/>
        <v>0</v>
      </c>
      <c r="F52" s="42" t="str">
        <f t="shared" si="7"/>
        <v/>
      </c>
    </row>
    <row r="53" spans="2:6" ht="23.4" hidden="1" x14ac:dyDescent="0.45">
      <c r="B53" s="36">
        <f t="shared" si="5"/>
        <v>10</v>
      </c>
      <c r="C53" s="39">
        <f t="shared" si="6"/>
        <v>0</v>
      </c>
      <c r="D53" s="39"/>
      <c r="E53" s="39">
        <f t="shared" si="8"/>
        <v>0</v>
      </c>
      <c r="F53" s="42" t="str">
        <f t="shared" si="7"/>
        <v/>
      </c>
    </row>
    <row r="54" spans="2:6" ht="23.4" hidden="1" x14ac:dyDescent="0.45">
      <c r="B54" s="36">
        <f t="shared" si="5"/>
        <v>11</v>
      </c>
      <c r="C54" s="39">
        <f t="shared" si="6"/>
        <v>0</v>
      </c>
      <c r="D54" s="39"/>
      <c r="E54" s="39">
        <f t="shared" si="8"/>
        <v>0</v>
      </c>
      <c r="F54" s="42" t="str">
        <f t="shared" si="7"/>
        <v/>
      </c>
    </row>
    <row r="55" spans="2:6" ht="23.4" hidden="1" x14ac:dyDescent="0.45">
      <c r="B55" s="36">
        <f t="shared" si="5"/>
        <v>12</v>
      </c>
      <c r="C55" s="39">
        <f t="shared" si="6"/>
        <v>0</v>
      </c>
      <c r="D55" s="39"/>
      <c r="E55" s="39">
        <f t="shared" si="8"/>
        <v>0</v>
      </c>
      <c r="F55" s="42" t="str">
        <f t="shared" si="7"/>
        <v/>
      </c>
    </row>
    <row r="56" spans="2:6" ht="23.4" hidden="1" x14ac:dyDescent="0.45">
      <c r="B56" s="36">
        <f t="shared" si="5"/>
        <v>13</v>
      </c>
      <c r="C56" s="39">
        <f t="shared" si="6"/>
        <v>0</v>
      </c>
      <c r="D56" s="39"/>
      <c r="E56" s="39">
        <f t="shared" si="8"/>
        <v>0</v>
      </c>
      <c r="F56" s="42" t="str">
        <f t="shared" si="7"/>
        <v/>
      </c>
    </row>
    <row r="57" spans="2:6" ht="23.4" hidden="1" x14ac:dyDescent="0.45">
      <c r="B57" s="37">
        <f t="shared" si="5"/>
        <v>14</v>
      </c>
      <c r="C57" s="39">
        <f t="shared" si="6"/>
        <v>0</v>
      </c>
      <c r="D57" s="39"/>
      <c r="E57" s="39">
        <f t="shared" si="8"/>
        <v>0</v>
      </c>
      <c r="F57" s="42" t="str">
        <f t="shared" si="7"/>
        <v/>
      </c>
    </row>
    <row r="58" spans="2:6" ht="23.4" hidden="1" x14ac:dyDescent="0.45">
      <c r="B58" s="37">
        <f t="shared" si="5"/>
        <v>15</v>
      </c>
      <c r="C58" s="39">
        <f t="shared" si="6"/>
        <v>0</v>
      </c>
      <c r="D58" s="39"/>
      <c r="E58" s="39">
        <f t="shared" si="8"/>
        <v>0</v>
      </c>
      <c r="F58" s="42" t="str">
        <f t="shared" si="7"/>
        <v/>
      </c>
    </row>
    <row r="64" spans="2:6" x14ac:dyDescent="0.25">
      <c r="C64" s="26">
        <f>MAX(C44:D59)</f>
        <v>28.28</v>
      </c>
    </row>
  </sheetData>
  <mergeCells count="2">
    <mergeCell ref="B2:G2"/>
    <mergeCell ref="F3:G3"/>
  </mergeCells>
  <phoneticPr fontId="0" type="noConversion"/>
  <conditionalFormatting sqref="G4:G18">
    <cfRule type="cellIs" dxfId="2" priority="1" stopIfTrue="1" operator="lessThan">
      <formula>0</formula>
    </cfRule>
    <cfRule type="cellIs" dxfId="1" priority="2" stopIfTrue="1" operator="greaterThanOrEqual">
      <formula>0</formula>
    </cfRule>
  </conditionalFormatting>
  <conditionalFormatting sqref="C19">
    <cfRule type="cellIs" dxfId="0" priority="3" stopIfTrue="1" operator="lessThan">
      <formula>$U$19</formula>
    </cfRule>
  </conditionalFormatting>
  <pageMargins left="0.43" right="0.39" top="1" bottom="1" header="0.5" footer="0.5"/>
  <pageSetup orientation="portrait" r:id="rId1"/>
  <headerFooter alignWithMargins="0"/>
  <picture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showGridLines="0" workbookViewId="0">
      <selection activeCell="C16" sqref="C16"/>
    </sheetView>
  </sheetViews>
  <sheetFormatPr defaultRowHeight="13.8" x14ac:dyDescent="0.25"/>
  <cols>
    <col min="1" max="1" width="15.875" customWidth="1"/>
    <col min="2" max="2" width="13.75" customWidth="1"/>
    <col min="3" max="8" width="12.75" customWidth="1"/>
    <col min="9" max="9" width="1.75" customWidth="1"/>
  </cols>
  <sheetData>
    <row r="1" spans="1:11" ht="23.4" x14ac:dyDescent="0.45">
      <c r="A1" s="19"/>
      <c r="B1" s="19"/>
      <c r="C1" s="19"/>
      <c r="D1" s="19"/>
      <c r="E1" s="20"/>
      <c r="F1" s="21"/>
      <c r="G1" s="22"/>
      <c r="H1" s="22"/>
    </row>
    <row r="2" spans="1:11" ht="39" x14ac:dyDescent="0.55000000000000004">
      <c r="A2" s="180" t="s">
        <v>29</v>
      </c>
      <c r="B2" s="181"/>
      <c r="C2" s="181"/>
      <c r="D2" s="181"/>
      <c r="E2" s="182"/>
      <c r="F2" s="182"/>
      <c r="G2" s="2"/>
      <c r="H2" s="2"/>
    </row>
    <row r="3" spans="1:11" ht="23.4" x14ac:dyDescent="0.45">
      <c r="A3" s="7" t="s">
        <v>14</v>
      </c>
      <c r="B3" s="15" t="s">
        <v>12</v>
      </c>
      <c r="C3" s="15" t="s">
        <v>13</v>
      </c>
      <c r="D3" s="15" t="s">
        <v>20</v>
      </c>
      <c r="E3" s="178" t="s">
        <v>24</v>
      </c>
      <c r="F3" s="179"/>
      <c r="G3" s="2"/>
      <c r="H3" s="2"/>
    </row>
    <row r="4" spans="1:11" ht="23.4" x14ac:dyDescent="0.45">
      <c r="A4" s="7" t="s">
        <v>21</v>
      </c>
      <c r="B4" s="16">
        <v>12.5</v>
      </c>
      <c r="C4" s="16">
        <v>12</v>
      </c>
      <c r="D4" s="16">
        <f>B4-C4</f>
        <v>0.5</v>
      </c>
      <c r="E4" s="12" t="str">
        <f>IF(C4=MAX(C$4:C$7),"H","")</f>
        <v/>
      </c>
      <c r="F4" s="23" t="str">
        <f>IF(E4="H",'Summary &amp; Solution'!$I$57-C4,"")</f>
        <v/>
      </c>
      <c r="G4" s="2"/>
      <c r="H4" s="2"/>
      <c r="J4">
        <f>IF(B4&lt;'Summary &amp; Solution'!$I$57,1,IF(B4&gt;'Summary &amp; Solution'!$I$57,2))</f>
        <v>1</v>
      </c>
      <c r="K4">
        <f>IF(C4&lt;'Summary &amp; Solution'!$I$57,1,IF(C4&gt;'Summary &amp; Solution'!$I$57,2))</f>
        <v>1</v>
      </c>
    </row>
    <row r="5" spans="1:11" ht="23.4" x14ac:dyDescent="0.45">
      <c r="A5" s="7" t="s">
        <v>22</v>
      </c>
      <c r="B5" s="16">
        <v>21.88</v>
      </c>
      <c r="C5" s="16">
        <v>20.5</v>
      </c>
      <c r="D5" s="16">
        <f>B5-C5</f>
        <v>1.379999999999999</v>
      </c>
      <c r="E5" s="12" t="str">
        <f>IF(C5=MAX(C$4:C$7),"H","")</f>
        <v>H</v>
      </c>
      <c r="F5" s="23">
        <f>IF(E5="H",'Summary &amp; Solution'!$I$57-C5,"")</f>
        <v>-5.66</v>
      </c>
      <c r="G5" s="2"/>
      <c r="H5" s="2"/>
      <c r="J5">
        <f>IF(B5&lt;'Summary &amp; Solution'!$I$57,1,IF(B5&gt;'Summary &amp; Solution'!$I$57,2))</f>
        <v>2</v>
      </c>
      <c r="K5">
        <f>IF(C5&lt;'Summary &amp; Solution'!$I$57,1,IF(C5&gt;'Summary &amp; Solution'!$I$57,2))</f>
        <v>2</v>
      </c>
    </row>
    <row r="6" spans="1:11" ht="23.4" x14ac:dyDescent="0.45">
      <c r="A6" s="7" t="s">
        <v>23</v>
      </c>
      <c r="B6" s="16">
        <v>19.21</v>
      </c>
      <c r="C6" s="16">
        <v>20.170000000000002</v>
      </c>
      <c r="D6" s="16">
        <f>B6-C6</f>
        <v>-0.96000000000000085</v>
      </c>
      <c r="E6" s="12" t="str">
        <f>IF(C6=MAX(C$4:C$7),"H","")</f>
        <v/>
      </c>
      <c r="F6" s="23" t="str">
        <f>IF(E6="H",'Summary &amp; Solution'!$I$57-C6,"")</f>
        <v/>
      </c>
      <c r="G6" s="2"/>
      <c r="H6" s="2"/>
      <c r="J6">
        <f>IF(B6&lt;'Summary &amp; Solution'!$I$57,1,IF(B6&gt;'Summary &amp; Solution'!$I$57,2))</f>
        <v>2</v>
      </c>
      <c r="K6">
        <f>IF(C6&lt;'Summary &amp; Solution'!$I$57,1,IF(C6&gt;'Summary &amp; Solution'!$I$57,2))</f>
        <v>2</v>
      </c>
    </row>
    <row r="7" spans="1:11" ht="23.4" x14ac:dyDescent="0.45">
      <c r="A7" s="7" t="s">
        <v>28</v>
      </c>
      <c r="B7" s="16">
        <v>15.47</v>
      </c>
      <c r="C7" s="16">
        <v>14.5</v>
      </c>
      <c r="D7" s="16">
        <f>B7-C7</f>
        <v>0.97000000000000064</v>
      </c>
      <c r="E7" s="12" t="str">
        <f>IF(C7=MAX(C$4:C$7),"H","")</f>
        <v/>
      </c>
      <c r="F7" s="23" t="str">
        <f>IF(E7="H",'Summary &amp; Solution'!$I$57-C7,"")</f>
        <v/>
      </c>
      <c r="G7" s="2"/>
      <c r="H7" s="2"/>
      <c r="J7">
        <f>IF(B7&lt;'Summary &amp; Solution'!$I$57,1,IF(B7&gt;'Summary &amp; Solution'!$I$57,2))</f>
        <v>2</v>
      </c>
      <c r="K7">
        <f>IF(C7&lt;'Summary &amp; Solution'!$I$57,1,IF(C7&gt;'Summary &amp; Solution'!$I$57,2))</f>
        <v>1</v>
      </c>
    </row>
    <row r="8" spans="1:11" ht="23.4" x14ac:dyDescent="0.45">
      <c r="A8" s="7" t="s">
        <v>15</v>
      </c>
      <c r="B8" s="16">
        <f>AVERAGEA(B4:B7)</f>
        <v>17.265000000000001</v>
      </c>
      <c r="C8" s="16">
        <f>AVERAGEA(C4:C7)</f>
        <v>16.7925</v>
      </c>
      <c r="D8" s="16">
        <f>AVERAGEA(D4:D7)</f>
        <v>0.4724999999999997</v>
      </c>
      <c r="E8" s="28" t="str">
        <f>IF(F8&lt;0,"Cursed:","Winner!")</f>
        <v>Cursed:</v>
      </c>
      <c r="F8" s="29">
        <f>SUM(F4:F6)</f>
        <v>-5.66</v>
      </c>
      <c r="G8" s="8"/>
      <c r="H8" s="2"/>
    </row>
    <row r="9" spans="1:11" ht="23.4" x14ac:dyDescent="0.45">
      <c r="A9" s="7" t="s">
        <v>16</v>
      </c>
      <c r="B9" s="16">
        <f>STDEVPA(B4:B7)</f>
        <v>3.5710117613919898</v>
      </c>
      <c r="C9" s="16">
        <f>STDEVPA(C4:C7)</f>
        <v>3.6529671159209736</v>
      </c>
      <c r="D9" s="16">
        <f>STDEVPA(D4:D7)</f>
        <v>0.88372436313592728</v>
      </c>
      <c r="E9" s="2"/>
      <c r="F9" s="2"/>
      <c r="G9" s="8"/>
      <c r="H9" s="2"/>
    </row>
    <row r="10" spans="1:11" ht="23.4" hidden="1" x14ac:dyDescent="0.45">
      <c r="A10" s="7" t="s">
        <v>17</v>
      </c>
      <c r="B10" s="16" t="e">
        <f>#REF!</f>
        <v>#REF!</v>
      </c>
      <c r="C10" s="16" t="e">
        <f>#REF!</f>
        <v>#REF!</v>
      </c>
      <c r="D10" s="17"/>
      <c r="E10" s="2"/>
      <c r="F10" s="2"/>
      <c r="G10" s="8"/>
      <c r="H10" s="2"/>
    </row>
    <row r="11" spans="1:11" ht="23.4" x14ac:dyDescent="0.45">
      <c r="A11" s="7" t="s">
        <v>18</v>
      </c>
      <c r="B11" s="17">
        <f>COUNTIF(J$4:J$10,"=1")</f>
        <v>1</v>
      </c>
      <c r="C11" s="17">
        <f>COUNTIF(K$4:K$10,"=1")</f>
        <v>2</v>
      </c>
      <c r="D11" s="17"/>
      <c r="E11" s="2"/>
      <c r="F11" s="2"/>
      <c r="G11" s="2"/>
      <c r="H11" s="2"/>
    </row>
    <row r="12" spans="1:11" ht="23.4" x14ac:dyDescent="0.45">
      <c r="A12" s="7" t="s">
        <v>19</v>
      </c>
      <c r="B12" s="17">
        <f>COUNTIF(J$4:J$7,"=2")</f>
        <v>3</v>
      </c>
      <c r="C12" s="17">
        <f>COUNTIF(K$4:K$7,"=2")</f>
        <v>2</v>
      </c>
      <c r="D12" s="17"/>
      <c r="E12" s="2"/>
      <c r="F12" s="2"/>
      <c r="G12" s="2"/>
      <c r="H12" s="2"/>
    </row>
    <row r="20" spans="1:6" ht="16.2" x14ac:dyDescent="0.25">
      <c r="A20" s="33" t="s">
        <v>32</v>
      </c>
    </row>
    <row r="21" spans="1:6" x14ac:dyDescent="0.25">
      <c r="A21" t="s">
        <v>15</v>
      </c>
      <c r="B21">
        <v>17.265000000000001</v>
      </c>
      <c r="C21">
        <v>16.7925</v>
      </c>
      <c r="D21">
        <v>0.47249999999999998</v>
      </c>
      <c r="E21" t="s">
        <v>30</v>
      </c>
      <c r="F21">
        <v>-6.05</v>
      </c>
    </row>
    <row r="22" spans="1:6" x14ac:dyDescent="0.25">
      <c r="A22" t="s">
        <v>16</v>
      </c>
      <c r="B22">
        <v>3.5710117613919898</v>
      </c>
      <c r="C22">
        <v>3.6529671159209736</v>
      </c>
      <c r="D22">
        <v>0.88372436313592728</v>
      </c>
    </row>
    <row r="23" spans="1:6" x14ac:dyDescent="0.25">
      <c r="A23" t="s">
        <v>18</v>
      </c>
      <c r="B23">
        <v>1</v>
      </c>
      <c r="C23">
        <v>1</v>
      </c>
    </row>
    <row r="24" spans="1:6" x14ac:dyDescent="0.25">
      <c r="A24" t="s">
        <v>19</v>
      </c>
      <c r="B24">
        <v>3</v>
      </c>
      <c r="C24">
        <v>3</v>
      </c>
    </row>
  </sheetData>
  <mergeCells count="2">
    <mergeCell ref="E3:F3"/>
    <mergeCell ref="A2:F2"/>
  </mergeCells>
  <phoneticPr fontId="0" type="noConversion"/>
  <pageMargins left="0.75" right="0.75" top="0.25" bottom="0.25" header="0.25" footer="0.25"/>
  <pageSetup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 &amp; Solution</vt:lpstr>
      <vt:lpstr>Sec1</vt:lpstr>
      <vt:lpstr>Sec2</vt:lpstr>
      <vt:lpstr>EMBA</vt:lpstr>
      <vt:lpstr>EM3</vt:lpstr>
    </vt:vector>
  </TitlesOfParts>
  <Company>Washington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</dc:creator>
  <cp:lastModifiedBy>Russ Coff</cp:lastModifiedBy>
  <cp:lastPrinted>2008-10-06T14:51:48Z</cp:lastPrinted>
  <dcterms:created xsi:type="dcterms:W3CDTF">1997-10-28T15:18:24Z</dcterms:created>
  <dcterms:modified xsi:type="dcterms:W3CDTF">2012-11-06T16:40:00Z</dcterms:modified>
</cp:coreProperties>
</file>