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drawings/drawing3.xml" ContentType="application/vnd.openxmlformats-officedocument.drawingml.chartshapes+xml"/>
  <Override PartName="/xl/charts/chart2.xml" ContentType="application/vnd.openxmlformats-officedocument.drawingml.chart+xml"/>
  <Override PartName="/xl/drawings/drawing4.xml" ContentType="application/vnd.openxmlformats-officedocument.drawingml.chartshapes+xml"/>
  <Override PartName="/xl/charts/chart3.xml" ContentType="application/vnd.openxmlformats-officedocument.drawingml.chart+xml"/>
  <Override PartName="/xl/drawings/drawing5.xml" ContentType="application/vnd.openxmlformats-officedocument.drawingml.chartshapes+xml"/>
  <Override PartName="/xl/charts/chart4.xml" ContentType="application/vnd.openxmlformats-officedocument.drawingml.chart+xml"/>
  <Override PartName="/xl/drawings/drawing6.xml" ContentType="application/vnd.openxmlformats-officedocument.drawingml.chartshapes+xml"/>
  <Override PartName="/xl/charts/chart5.xml" ContentType="application/vnd.openxmlformats-officedocument.drawingml.chart+xml"/>
  <Override PartName="/xl/drawings/drawing7.xml" ContentType="application/vnd.openxmlformats-officedocument.drawingml.chartshapes+xml"/>
  <Override PartName="/xl/charts/chart6.xml" ContentType="application/vnd.openxmlformats-officedocument.drawingml.chart+xml"/>
  <Override PartName="/xl/drawings/drawing8.xml" ContentType="application/vnd.openxmlformats-officedocument.drawingml.chartshapes+xml"/>
  <Override PartName="/xl/charts/chart7.xml" ContentType="application/vnd.openxmlformats-officedocument.drawingml.chart+xml"/>
  <Override PartName="/xl/drawings/drawing9.xml" ContentType="application/vnd.openxmlformats-officedocument.drawingml.chartshapes+xml"/>
  <Override PartName="/xl/charts/chart8.xml" ContentType="application/vnd.openxmlformats-officedocument.drawingml.chart+xml"/>
  <Override PartName="/xl/drawings/drawing10.xml" ContentType="application/vnd.openxmlformats-officedocument.drawingml.chartshapes+xml"/>
  <Override PartName="/xl/drawings/drawing1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92" yWindow="228" windowWidth="15480" windowHeight="9156"/>
  </bookViews>
  <sheets>
    <sheet name="Scenarios" sheetId="10" r:id="rId1"/>
    <sheet name="SensitivityAnalysis" sheetId="15" r:id="rId2"/>
    <sheet name="DatingGame" sheetId="6" r:id="rId3"/>
    <sheet name="treeCalc_2" sheetId="16" state="hidden" r:id="rId4"/>
    <sheet name="treeCalc_1" sheetId="14" state="hidden" r:id="rId5"/>
  </sheets>
  <externalReferences>
    <externalReference r:id="rId6"/>
    <externalReference r:id="rId7"/>
    <externalReference r:id="rId8"/>
    <externalReference r:id="rId9"/>
    <externalReference r:id="rId10"/>
    <externalReference r:id="rId11"/>
  </externalReferences>
  <definedNames>
    <definedName name="_AtRisk_SimSetting_AutomaticallyGenerateReports" hidden="1">FALSE</definedName>
    <definedName name="_AtRisk_SimSetting_AutomaticResultsDisplayMode" hidden="1">0</definedName>
    <definedName name="_AtRisk_SimSetting_ConvergenceConfidenceLevel" hidden="1">0.95</definedName>
    <definedName name="_AtRisk_SimSetting_ConvergencePercentileToTest" hidden="1">0.9</definedName>
    <definedName name="_AtRisk_SimSetting_ConvergencePerformMeanTest" hidden="1">TRUE</definedName>
    <definedName name="_AtRisk_SimSetting_ConvergencePerformPercentileTest" hidden="1">FALSE</definedName>
    <definedName name="_AtRisk_SimSetting_ConvergencePerformStdDeviationTest" hidden="1">FALSE</definedName>
    <definedName name="_AtRisk_SimSetting_ConvergenceTestAllOutputs" hidden="1">TRUE</definedName>
    <definedName name="_AtRisk_SimSetting_ConvergenceTestingPeriod" hidden="1">100</definedName>
    <definedName name="_AtRisk_SimSetting_ConvergenceTolerance" hidden="1">0.03</definedName>
    <definedName name="_AtRisk_SimSetting_LiveUpdate" hidden="1">TRUE</definedName>
    <definedName name="_AtRisk_SimSetting_LiveUpdatePeriod" hidden="1">-1</definedName>
    <definedName name="_AtRisk_SimSetting_RandomNumberGenerator" hidden="1">0</definedName>
    <definedName name="_AtRisk_SimSetting_ReportsList" hidden="1">0</definedName>
    <definedName name="_AtRisk_SimSetting_SimNameCount" hidden="1">0</definedName>
    <definedName name="_AtRisk_SimSetting_SmartSensitivityAnalysisEnabled" hidden="1">TRUE</definedName>
    <definedName name="_AtRisk_SimSetting_StatisticFunctionUpdating" hidden="1">1</definedName>
    <definedName name="_AtRisk_SimSetting_StdRecalcBehavior" hidden="1">0</definedName>
    <definedName name="_AtRisk_SimSetting_StdRecalcWithoutRiskStatic" hidden="1">0</definedName>
    <definedName name="_AtRisk_SimSetting_StdRecalcWithoutRiskStaticPercentile" hidden="1">0.5</definedName>
    <definedName name="Pal_Workbook_GUID" hidden="1">"YTCCP3S97UGR66QN3W1R8BMR"</definedName>
    <definedName name="PTree_SensitivityAnalysis_AnalysisType" hidden="1">0</definedName>
    <definedName name="PTree_SensitivityAnalysis_GraphsDisplayPercentageChange" hidden="1">FALSE</definedName>
    <definedName name="PTree_SensitivityAnalysis_IncludeSensitivityGraph" hidden="1">TRUE</definedName>
    <definedName name="PTree_SensitivityAnalysis_IncludeSpiderGraph" hidden="1">TRUE</definedName>
    <definedName name="PTree_SensitivityAnalysis_IncludeStrategyRegion" hidden="1">TRUE</definedName>
    <definedName name="PTree_SensitivityAnalysis_IncludeTornadoGraph" hidden="1">TRUE</definedName>
    <definedName name="PTree_SensitivityAnalysis_Inputs_1_AlternateCellLabel" hidden="1">"P(DG Creates Value)"</definedName>
    <definedName name="PTree_SensitivityAnalysis_Inputs_1_BaseValueIsAutomatic" hidden="1">TRUE</definedName>
    <definedName name="PTree_SensitivityAnalysis_Inputs_1_MaintainProbabilityNormalization" hidden="1">FALSE</definedName>
    <definedName name="PTree_SensitivityAnalysis_Inputs_1_ManualBaseValue" hidden="1">0</definedName>
    <definedName name="PTree_SensitivityAnalysis_Inputs_1_Maximum" hidden="1">25</definedName>
    <definedName name="PTree_SensitivityAnalysis_Inputs_1_Minimum" hidden="1">-25</definedName>
    <definedName name="PTree_SensitivityAnalysis_Inputs_1_OneWayAnalysis" hidden="1">1</definedName>
    <definedName name="PTree_SensitivityAnalysis_Inputs_1_Steps" hidden="1">11</definedName>
    <definedName name="PTree_SensitivityAnalysis_Inputs_1_TwoWayAnalysis" hidden="1">1</definedName>
    <definedName name="PTree_SensitivityAnalysis_Inputs_1_VariationMethod" hidden="1">0</definedName>
    <definedName name="PTree_SensitivityAnalysis_Inputs_1_VaryCell" hidden="1">Scenarios!$L$19</definedName>
    <definedName name="PTree_SensitivityAnalysis_Inputs_2_AlternateCellLabel" hidden="1">"P(Deal Closes)"</definedName>
    <definedName name="PTree_SensitivityAnalysis_Inputs_2_BaseValueIsAutomatic" hidden="1">TRUE</definedName>
    <definedName name="PTree_SensitivityAnalysis_Inputs_2_MaintainProbabilityNormalization" hidden="1">FALSE</definedName>
    <definedName name="PTree_SensitivityAnalysis_Inputs_2_ManualBaseValue" hidden="1">0</definedName>
    <definedName name="PTree_SensitivityAnalysis_Inputs_2_Maximum" hidden="1">25</definedName>
    <definedName name="PTree_SensitivityAnalysis_Inputs_2_Minimum" hidden="1">-25</definedName>
    <definedName name="PTree_SensitivityAnalysis_Inputs_2_OneWayAnalysis" hidden="1">1</definedName>
    <definedName name="PTree_SensitivityAnalysis_Inputs_2_Steps" hidden="1">11</definedName>
    <definedName name="PTree_SensitivityAnalysis_Inputs_2_TwoWayAnalysis" hidden="1">2</definedName>
    <definedName name="PTree_SensitivityAnalysis_Inputs_2_VariationMethod" hidden="1">0</definedName>
    <definedName name="PTree_SensitivityAnalysis_Inputs_2_VaryCell" hidden="1">Scenarios!$L$18</definedName>
    <definedName name="PTree_SensitivityAnalysis_Inputs_3_AlternateCellLabel" hidden="1">"P(DT creates Value)"</definedName>
    <definedName name="PTree_SensitivityAnalysis_Inputs_3_BaseValueIsAutomatic" hidden="1">TRUE</definedName>
    <definedName name="PTree_SensitivityAnalysis_Inputs_3_MaintainProbabilityNormalization" hidden="1">FALSE</definedName>
    <definedName name="PTree_SensitivityAnalysis_Inputs_3_ManualBaseValue" hidden="1">0</definedName>
    <definedName name="PTree_SensitivityAnalysis_Inputs_3_Maximum" hidden="1">25</definedName>
    <definedName name="PTree_SensitivityAnalysis_Inputs_3_Minimum" hidden="1">-25</definedName>
    <definedName name="PTree_SensitivityAnalysis_Inputs_3_OneWayAnalysis" hidden="1">1</definedName>
    <definedName name="PTree_SensitivityAnalysis_Inputs_3_Steps" hidden="1">11</definedName>
    <definedName name="PTree_SensitivityAnalysis_Inputs_3_TwoWayAnalysis" hidden="1">0</definedName>
    <definedName name="PTree_SensitivityAnalysis_Inputs_3_VariationMethod" hidden="1">0</definedName>
    <definedName name="PTree_SensitivityAnalysis_Inputs_3_VaryCell" hidden="1">Scenarios!$L$20</definedName>
    <definedName name="PTree_SensitivityAnalysis_Inputs_4_AlternateCellLabel" hidden="1">"Cost of DT being strong"</definedName>
    <definedName name="PTree_SensitivityAnalysis_Inputs_4_BaseValueIsAutomatic" hidden="1">TRUE</definedName>
    <definedName name="PTree_SensitivityAnalysis_Inputs_4_MaintainProbabilityNormalization" hidden="1">FALSE</definedName>
    <definedName name="PTree_SensitivityAnalysis_Inputs_4_ManualBaseValue" hidden="1">0</definedName>
    <definedName name="PTree_SensitivityAnalysis_Inputs_4_Maximum" hidden="1">25</definedName>
    <definedName name="PTree_SensitivityAnalysis_Inputs_4_Minimum" hidden="1">-25</definedName>
    <definedName name="PTree_SensitivityAnalysis_Inputs_4_OneWayAnalysis" hidden="1">1</definedName>
    <definedName name="PTree_SensitivityAnalysis_Inputs_4_Steps" hidden="1">11</definedName>
    <definedName name="PTree_SensitivityAnalysis_Inputs_4_TwoWayAnalysis" hidden="1">0</definedName>
    <definedName name="PTree_SensitivityAnalysis_Inputs_4_VariationMethod" hidden="1">0</definedName>
    <definedName name="PTree_SensitivityAnalysis_Inputs_4_VaryCell" hidden="1">Scenarios!$L$13</definedName>
    <definedName name="PTree_SensitivityAnalysis_Inputs_5_AlternateCellLabel" hidden="1">"Discount Rate"</definedName>
    <definedName name="PTree_SensitivityAnalysis_Inputs_5_BaseValueIsAutomatic" hidden="1">TRUE</definedName>
    <definedName name="PTree_SensitivityAnalysis_Inputs_5_MaintainProbabilityNormalization" hidden="1">FALSE</definedName>
    <definedName name="PTree_SensitivityAnalysis_Inputs_5_ManualBaseValue" hidden="1">0</definedName>
    <definedName name="PTree_SensitivityAnalysis_Inputs_5_Maximum" hidden="1">25</definedName>
    <definedName name="PTree_SensitivityAnalysis_Inputs_5_Minimum" hidden="1">-25</definedName>
    <definedName name="PTree_SensitivityAnalysis_Inputs_5_OneWayAnalysis" hidden="1">1</definedName>
    <definedName name="PTree_SensitivityAnalysis_Inputs_5_Steps" hidden="1">11</definedName>
    <definedName name="PTree_SensitivityAnalysis_Inputs_5_TwoWayAnalysis" hidden="1">0</definedName>
    <definedName name="PTree_SensitivityAnalysis_Inputs_5_VariationMethod" hidden="1">0</definedName>
    <definedName name="PTree_SensitivityAnalysis_Inputs_5_VaryCell" hidden="1">Scenarios!$L$14</definedName>
    <definedName name="PTree_SensitivityAnalysis_Inputs_Count" hidden="1">5</definedName>
    <definedName name="PTree_SensitivityAnalysis_Output_AlternateCellLabel" hidden="1">""</definedName>
    <definedName name="PTree_SensitivityAnalysis_Output_Model" hidden="1">PTreeObjectReference(PTDecisionTree_2,treeCalc_2!$A$1)</definedName>
    <definedName name="PTree_SensitivityAnalysis_Output_OutputType" hidden="1">1</definedName>
    <definedName name="PTree_SensitivityAnalysis_Output_StartingNode" hidden="1">PTreeObjectReference(NULL,NULL)</definedName>
    <definedName name="PTree_SensitivityAnalysis_UpdateDisplay" hidden="1">FALSE</definedName>
    <definedName name="RiskAfterRecalcMacro" hidden="1">""</definedName>
    <definedName name="RiskAfterSimMacro" hidden="1">""</definedName>
    <definedName name="RiskBeforeRecalcMacro" hidden="1">""</definedName>
    <definedName name="RiskBeforeSimMacro" hidden="1">""</definedName>
    <definedName name="RiskCollectDistributionSamples" hidden="1">2</definedName>
    <definedName name="RiskFixedSeed" hidden="1">1</definedName>
    <definedName name="RiskHasSettings" hidden="1">5</definedName>
    <definedName name="RiskMinimizeOnStart" hidden="1">FALSE</definedName>
    <definedName name="RiskMonitorConvergence" hidden="1">FALSE</definedName>
    <definedName name="RiskMultipleCPUSupportEnabled" hidden="1">TRUE</definedName>
    <definedName name="RiskNumIterations" hidden="1">1000</definedName>
    <definedName name="RiskNumSimulations" hidden="1">2</definedName>
    <definedName name="RiskPauseOnError" hidden="1">FALSE</definedName>
    <definedName name="RiskRunAfterRecalcMacro" hidden="1">FALSE</definedName>
    <definedName name="RiskRunAfterSimMacro" hidden="1">FALSE</definedName>
    <definedName name="RiskRunBeforeRecalcMacro" hidden="1">FALSE</definedName>
    <definedName name="RiskRunBeforeSimMacro" hidden="1">FALSE</definedName>
    <definedName name="RiskSamplingType" hidden="1">3</definedName>
    <definedName name="RiskStandardRecalc" hidden="1">1</definedName>
    <definedName name="RiskUpdateDisplay" hidden="1">FALSE</definedName>
    <definedName name="RiskUseDifferentSeedForEachSim" hidden="1">FALSE</definedName>
    <definedName name="RiskUseFixedSeed" hidden="1">FALSE</definedName>
    <definedName name="RiskUseMultipleCPUs" hidden="1">TRUE</definedName>
    <definedName name="treeList" hidden="1">"11000000000000000000000000000000000000000000000000000000000000000000000000000000000000000000000000000000000000000000000000000000000000000000000000000000000000000000000000000000000000000000000000000000"</definedName>
  </definedNames>
  <calcPr calcId="145621"/>
</workbook>
</file>

<file path=xl/calcChain.xml><?xml version="1.0" encoding="utf-8"?>
<calcChain xmlns="http://schemas.openxmlformats.org/spreadsheetml/2006/main">
  <c r="D13" i="10" l="1"/>
  <c r="D5" i="10"/>
  <c r="E12" i="10"/>
  <c r="E11" i="10"/>
  <c r="D19" i="10"/>
  <c r="E3" i="10"/>
  <c r="P10" i="10" l="1"/>
  <c r="S10" i="10" s="1"/>
  <c r="P8" i="10"/>
  <c r="Q8" i="10" s="1"/>
  <c r="U10" i="10"/>
  <c r="U8" i="10"/>
  <c r="U7" i="10"/>
  <c r="T9" i="10"/>
  <c r="U9" i="10" s="1"/>
  <c r="T7" i="10"/>
  <c r="Q7" i="10" s="1"/>
  <c r="Q6" i="10"/>
  <c r="R6" i="10" s="1"/>
  <c r="S6" i="10" s="1"/>
  <c r="T6" i="10" s="1"/>
  <c r="E15" i="10"/>
  <c r="K19" i="16" s="1"/>
  <c r="D23" i="10"/>
  <c r="K21" i="16" s="1"/>
  <c r="E7" i="10"/>
  <c r="K17" i="16" s="1"/>
  <c r="K15" i="16"/>
  <c r="K20" i="16"/>
  <c r="J13" i="16"/>
  <c r="O13" i="16"/>
  <c r="K18" i="16"/>
  <c r="J15" i="16"/>
  <c r="O15" i="16"/>
  <c r="K16" i="16"/>
  <c r="K14" i="16"/>
  <c r="J14" i="16"/>
  <c r="O14" i="16"/>
  <c r="J12" i="16"/>
  <c r="O12" i="16"/>
  <c r="K11" i="16"/>
  <c r="J11" i="16"/>
  <c r="B11" i="16"/>
  <c r="B2" i="16"/>
  <c r="R7" i="10" l="1"/>
  <c r="R8" i="10"/>
  <c r="Q9" i="10"/>
  <c r="S8" i="10"/>
  <c r="Q10" i="10"/>
  <c r="R10" i="10"/>
  <c r="D29" i="6"/>
  <c r="K23" i="14" s="1"/>
  <c r="D13" i="6"/>
  <c r="K15" i="14" s="1"/>
  <c r="K25" i="14"/>
  <c r="J25" i="14"/>
  <c r="K24" i="14"/>
  <c r="J24" i="14"/>
  <c r="J23" i="14"/>
  <c r="O23" i="14"/>
  <c r="K22" i="14"/>
  <c r="J22" i="14"/>
  <c r="K21" i="14"/>
  <c r="J21" i="14"/>
  <c r="K20" i="14"/>
  <c r="J20" i="14"/>
  <c r="O20" i="14"/>
  <c r="J13" i="14"/>
  <c r="O13" i="14"/>
  <c r="K19" i="14"/>
  <c r="J19" i="14"/>
  <c r="K18" i="14"/>
  <c r="J18" i="14"/>
  <c r="J15" i="14"/>
  <c r="O15" i="14"/>
  <c r="K17" i="14"/>
  <c r="J17" i="14"/>
  <c r="K16" i="14"/>
  <c r="J16" i="14"/>
  <c r="K14" i="14"/>
  <c r="J14" i="14"/>
  <c r="O14" i="14"/>
  <c r="J12" i="14"/>
  <c r="O12" i="14"/>
  <c r="K11" i="14"/>
  <c r="J11" i="14"/>
  <c r="O11" i="14"/>
  <c r="B11" i="14"/>
  <c r="B2" i="14"/>
  <c r="V8" i="10" l="1"/>
  <c r="L8" i="10" s="1"/>
  <c r="E8" i="10" s="1"/>
  <c r="J17" i="16" s="1"/>
  <c r="V9" i="10"/>
  <c r="L9" i="10" s="1"/>
  <c r="R9" i="10"/>
  <c r="S9" i="10" s="1"/>
  <c r="S7" i="10"/>
  <c r="V7" i="10" s="1"/>
  <c r="L7" i="10" s="1"/>
  <c r="E4" i="10" s="1"/>
  <c r="J16" i="16" s="1"/>
  <c r="V10" i="10"/>
  <c r="L10" i="10" s="1"/>
  <c r="D24" i="10" s="1"/>
  <c r="L141" i="10"/>
  <c r="L209" i="10"/>
  <c r="L351" i="10"/>
  <c r="L350" i="10"/>
  <c r="L349" i="10"/>
  <c r="L317" i="10"/>
  <c r="L316" i="10"/>
  <c r="L315" i="10"/>
  <c r="L283" i="10"/>
  <c r="L282" i="10"/>
  <c r="L281" i="10"/>
  <c r="L248" i="10"/>
  <c r="L247" i="10"/>
  <c r="L246" i="10"/>
  <c r="L214" i="10"/>
  <c r="L213" i="10"/>
  <c r="L212" i="10"/>
  <c r="L146" i="10"/>
  <c r="L145" i="10"/>
  <c r="L144" i="10"/>
  <c r="L111" i="10"/>
  <c r="L110" i="10"/>
  <c r="L109" i="10"/>
  <c r="L73" i="10"/>
  <c r="L72" i="10"/>
  <c r="L71" i="10"/>
  <c r="L346" i="10"/>
  <c r="L278" i="10"/>
  <c r="L312" i="10"/>
  <c r="L243" i="10"/>
  <c r="L68" i="10"/>
  <c r="L343" i="10"/>
  <c r="L309" i="10"/>
  <c r="L206" i="10"/>
  <c r="L172" i="10"/>
  <c r="L65" i="10"/>
  <c r="L340" i="10"/>
  <c r="L306" i="10"/>
  <c r="L203" i="10"/>
  <c r="L169" i="10"/>
  <c r="L62" i="10"/>
  <c r="J18" i="16" l="1"/>
  <c r="D20" i="10"/>
  <c r="J20" i="16" s="1"/>
  <c r="E16" i="10"/>
  <c r="J19" i="16" s="1"/>
  <c r="J21" i="16"/>
  <c r="L348" i="10"/>
  <c r="M348" i="10" s="1"/>
  <c r="L347" i="10"/>
  <c r="L314" i="10"/>
  <c r="M314" i="10" s="1"/>
  <c r="L313" i="10"/>
  <c r="L280" i="10"/>
  <c r="M280" i="10" s="1"/>
  <c r="L279" i="10"/>
  <c r="M279" i="10" s="1"/>
  <c r="L245" i="10"/>
  <c r="L244" i="10"/>
  <c r="M244" i="10" s="1"/>
  <c r="L237" i="10"/>
  <c r="L238" i="10"/>
  <c r="L239" i="10"/>
  <c r="M239" i="10" s="1"/>
  <c r="L240" i="10"/>
  <c r="L241" i="10"/>
  <c r="L242" i="10"/>
  <c r="M242" i="10" s="1"/>
  <c r="K253" i="10"/>
  <c r="L253" i="10" s="1"/>
  <c r="M253" i="10" s="1"/>
  <c r="N253" i="10" s="1"/>
  <c r="O253" i="10" s="1"/>
  <c r="P253" i="10" s="1"/>
  <c r="J254" i="10"/>
  <c r="J255" i="10"/>
  <c r="J257" i="10"/>
  <c r="M273" i="10"/>
  <c r="M274" i="10"/>
  <c r="M276" i="10"/>
  <c r="M277" i="10"/>
  <c r="K288" i="10"/>
  <c r="J289" i="10"/>
  <c r="J290" i="10"/>
  <c r="J292" i="10"/>
  <c r="L308" i="10"/>
  <c r="M308" i="10" s="1"/>
  <c r="L311" i="10"/>
  <c r="M311" i="10" s="1"/>
  <c r="K322" i="10"/>
  <c r="L322" i="10" s="1"/>
  <c r="J323" i="10"/>
  <c r="J324" i="10"/>
  <c r="J326" i="10"/>
  <c r="L342" i="10"/>
  <c r="M342" i="10" s="1"/>
  <c r="L345" i="10"/>
  <c r="M345" i="10" s="1"/>
  <c r="K356" i="10"/>
  <c r="L356" i="10" s="1"/>
  <c r="M356" i="10" s="1"/>
  <c r="N356" i="10" s="1"/>
  <c r="O356" i="10" s="1"/>
  <c r="P356" i="10" s="1"/>
  <c r="J357" i="10"/>
  <c r="J358" i="10"/>
  <c r="J360" i="10"/>
  <c r="L208" i="10"/>
  <c r="M208" i="10" s="1"/>
  <c r="L205" i="10"/>
  <c r="M205" i="10" s="1"/>
  <c r="L177" i="10"/>
  <c r="M177" i="10" s="1"/>
  <c r="L176" i="10"/>
  <c r="L175" i="10"/>
  <c r="L211" i="10"/>
  <c r="M211" i="10" s="1"/>
  <c r="L210" i="10"/>
  <c r="L143" i="10"/>
  <c r="M143" i="10" s="1"/>
  <c r="L142" i="10"/>
  <c r="L108" i="10"/>
  <c r="M108" i="10" s="1"/>
  <c r="L107" i="10"/>
  <c r="L106" i="10"/>
  <c r="L69" i="10"/>
  <c r="L70" i="10"/>
  <c r="M70" i="10" s="1"/>
  <c r="L105" i="10"/>
  <c r="M105" i="10" s="1"/>
  <c r="L104" i="10"/>
  <c r="L103" i="10"/>
  <c r="L102" i="10"/>
  <c r="M102" i="10" s="1"/>
  <c r="L101" i="10"/>
  <c r="L100" i="10"/>
  <c r="L174" i="10"/>
  <c r="M174" i="10" s="1"/>
  <c r="L171" i="10"/>
  <c r="M171" i="10" s="1"/>
  <c r="L67" i="10"/>
  <c r="M67" i="10" s="1"/>
  <c r="L64" i="10"/>
  <c r="M64" i="10" s="1"/>
  <c r="L66" i="10"/>
  <c r="L204" i="10"/>
  <c r="J223" i="10"/>
  <c r="J221" i="10"/>
  <c r="J220" i="10"/>
  <c r="K219" i="10"/>
  <c r="J189" i="10"/>
  <c r="J187" i="10"/>
  <c r="J186" i="10"/>
  <c r="K185" i="10"/>
  <c r="J155" i="10"/>
  <c r="J153" i="10"/>
  <c r="J152" i="10"/>
  <c r="K151" i="10"/>
  <c r="M140" i="10"/>
  <c r="M139" i="10"/>
  <c r="M137" i="10"/>
  <c r="M136" i="10"/>
  <c r="J120" i="10"/>
  <c r="J118" i="10"/>
  <c r="J117" i="10"/>
  <c r="K116" i="10"/>
  <c r="J82" i="10"/>
  <c r="J80" i="10"/>
  <c r="J79" i="10"/>
  <c r="K78" i="10"/>
  <c r="F2" i="16"/>
  <c r="D10" i="10"/>
  <c r="F16" i="10"/>
  <c r="C18" i="10"/>
  <c r="E23" i="10"/>
  <c r="E20" i="10"/>
  <c r="C9" i="10"/>
  <c r="E24" i="10"/>
  <c r="E19" i="10"/>
  <c r="F7" i="10"/>
  <c r="D22" i="10"/>
  <c r="F12" i="10"/>
  <c r="C21" i="10"/>
  <c r="F11" i="10"/>
  <c r="F3" i="10"/>
  <c r="E6" i="10"/>
  <c r="F15" i="10"/>
  <c r="F4" i="10"/>
  <c r="F8" i="10"/>
  <c r="E14" i="10"/>
  <c r="C17" i="10" l="1"/>
  <c r="O11" i="16" s="1"/>
  <c r="A13" i="16"/>
  <c r="A21" i="16"/>
  <c r="A19" i="16"/>
  <c r="A15" i="16"/>
  <c r="A17" i="16"/>
  <c r="A11" i="16"/>
  <c r="A12" i="16"/>
  <c r="A16" i="16"/>
  <c r="A14" i="16"/>
  <c r="A18" i="16"/>
  <c r="A20" i="16"/>
  <c r="L318" i="10"/>
  <c r="J81" i="10"/>
  <c r="J84" i="10" s="1"/>
  <c r="J85" i="10" s="1"/>
  <c r="J86" i="10" s="1"/>
  <c r="M142" i="10"/>
  <c r="M210" i="10"/>
  <c r="L181" i="10"/>
  <c r="J291" i="10"/>
  <c r="J294" i="10" s="1"/>
  <c r="J295" i="10" s="1"/>
  <c r="J296" i="10" s="1"/>
  <c r="M104" i="10"/>
  <c r="K117" i="10" s="1"/>
  <c r="J325" i="10"/>
  <c r="J328" i="10" s="1"/>
  <c r="J329" i="10" s="1"/>
  <c r="J330" i="10" s="1"/>
  <c r="J222" i="10"/>
  <c r="J225" i="10" s="1"/>
  <c r="J226" i="10" s="1"/>
  <c r="J227" i="10" s="1"/>
  <c r="M238" i="10"/>
  <c r="J256" i="10"/>
  <c r="J259" i="10" s="1"/>
  <c r="J260" i="10" s="1"/>
  <c r="K152" i="10"/>
  <c r="K154" i="10" s="1"/>
  <c r="J188" i="10"/>
  <c r="J191" i="10" s="1"/>
  <c r="J192" i="10" s="1"/>
  <c r="J119" i="10"/>
  <c r="J122" i="10" s="1"/>
  <c r="J123" i="10" s="1"/>
  <c r="J154" i="10"/>
  <c r="J157" i="10" s="1"/>
  <c r="J158" i="10" s="1"/>
  <c r="M241" i="10"/>
  <c r="K254" i="10" s="1"/>
  <c r="M69" i="10"/>
  <c r="K83" i="10" s="1"/>
  <c r="M176" i="10"/>
  <c r="K190" i="10" s="1"/>
  <c r="M107" i="10"/>
  <c r="K121" i="10" s="1"/>
  <c r="L341" i="10"/>
  <c r="M341" i="10" s="1"/>
  <c r="L207" i="10"/>
  <c r="M207" i="10" s="1"/>
  <c r="K220" i="10" s="1"/>
  <c r="M204" i="10"/>
  <c r="K224" i="10"/>
  <c r="M66" i="10"/>
  <c r="K79" i="10" s="1"/>
  <c r="L63" i="10"/>
  <c r="M63" i="10" s="1"/>
  <c r="M101" i="10"/>
  <c r="M347" i="10"/>
  <c r="K361" i="10" s="1"/>
  <c r="L361" i="10" s="1"/>
  <c r="M361" i="10" s="1"/>
  <c r="N361" i="10" s="1"/>
  <c r="O361" i="10" s="1"/>
  <c r="P361" i="10" s="1"/>
  <c r="L173" i="10"/>
  <c r="M173" i="10" s="1"/>
  <c r="K186" i="10" s="1"/>
  <c r="L310" i="10"/>
  <c r="M310" i="10" s="1"/>
  <c r="K323" i="10" s="1"/>
  <c r="L323" i="10" s="1"/>
  <c r="L344" i="10"/>
  <c r="M344" i="10" s="1"/>
  <c r="K357" i="10" s="1"/>
  <c r="L170" i="10"/>
  <c r="M170" i="10" s="1"/>
  <c r="L307" i="10"/>
  <c r="M307" i="10" s="1"/>
  <c r="Q356" i="10"/>
  <c r="L288" i="10"/>
  <c r="K289" i="10"/>
  <c r="M245" i="10"/>
  <c r="K258" i="10"/>
  <c r="L258" i="10" s="1"/>
  <c r="M258" i="10" s="1"/>
  <c r="N258" i="10" s="1"/>
  <c r="O258" i="10" s="1"/>
  <c r="P258" i="10" s="1"/>
  <c r="K293" i="10"/>
  <c r="Q253" i="10"/>
  <c r="M313" i="10"/>
  <c r="K327" i="10" s="1"/>
  <c r="L327" i="10" s="1"/>
  <c r="J359" i="10"/>
  <c r="J362" i="10" s="1"/>
  <c r="M322" i="10"/>
  <c r="K156" i="10"/>
  <c r="L219" i="10"/>
  <c r="L185" i="10"/>
  <c r="L151" i="10"/>
  <c r="L116" i="10"/>
  <c r="L78" i="10"/>
  <c r="L112" i="10" l="1"/>
  <c r="K120" i="10" s="1"/>
  <c r="L215" i="10"/>
  <c r="L284" i="10"/>
  <c r="K292" i="10" s="1"/>
  <c r="L74" i="10"/>
  <c r="K82" i="10" s="1"/>
  <c r="L352" i="10"/>
  <c r="K360" i="10" s="1"/>
  <c r="L147" i="10"/>
  <c r="K155" i="10" s="1"/>
  <c r="K157" i="10" s="1"/>
  <c r="K158" i="10" s="1"/>
  <c r="K159" i="10" s="1"/>
  <c r="K160" i="10" s="1"/>
  <c r="L249" i="10"/>
  <c r="K257" i="10" s="1"/>
  <c r="J261" i="10"/>
  <c r="K81" i="10"/>
  <c r="K80" i="10" s="1"/>
  <c r="L83" i="10"/>
  <c r="K189" i="10"/>
  <c r="K223" i="10"/>
  <c r="L254" i="10"/>
  <c r="M254" i="10" s="1"/>
  <c r="N254" i="10" s="1"/>
  <c r="K256" i="10"/>
  <c r="K255" i="10" s="1"/>
  <c r="J159" i="10"/>
  <c r="J193" i="10"/>
  <c r="J124" i="10"/>
  <c r="K222" i="10"/>
  <c r="K119" i="10"/>
  <c r="K188" i="10"/>
  <c r="K325" i="10"/>
  <c r="K324" i="10" s="1"/>
  <c r="K359" i="10"/>
  <c r="L357" i="10"/>
  <c r="L326" i="10"/>
  <c r="R253" i="10"/>
  <c r="Q258" i="10"/>
  <c r="M288" i="10"/>
  <c r="L293" i="10"/>
  <c r="L289" i="10"/>
  <c r="J363" i="10"/>
  <c r="J364" i="10" s="1"/>
  <c r="K291" i="10"/>
  <c r="K326" i="10"/>
  <c r="M323" i="10"/>
  <c r="N322" i="10"/>
  <c r="M327" i="10"/>
  <c r="R356" i="10"/>
  <c r="Q361" i="10"/>
  <c r="L220" i="10"/>
  <c r="M219" i="10"/>
  <c r="L224" i="10"/>
  <c r="L186" i="10"/>
  <c r="M185" i="10"/>
  <c r="L190" i="10"/>
  <c r="L152" i="10"/>
  <c r="L154" i="10" s="1"/>
  <c r="M151" i="10"/>
  <c r="L156" i="10"/>
  <c r="K153" i="10"/>
  <c r="L117" i="10"/>
  <c r="M116" i="10"/>
  <c r="L121" i="10"/>
  <c r="M78" i="10"/>
  <c r="L79" i="10"/>
  <c r="N257" i="10" l="1"/>
  <c r="K122" i="10"/>
  <c r="K123" i="10" s="1"/>
  <c r="K124" i="10" s="1"/>
  <c r="K125" i="10" s="1"/>
  <c r="K84" i="10"/>
  <c r="K85" i="10" s="1"/>
  <c r="K86" i="10" s="1"/>
  <c r="K87" i="10" s="1"/>
  <c r="K191" i="10"/>
  <c r="K192" i="10" s="1"/>
  <c r="K193" i="10" s="1"/>
  <c r="K194" i="10" s="1"/>
  <c r="M83" i="10"/>
  <c r="K294" i="10"/>
  <c r="K295" i="10" s="1"/>
  <c r="K296" i="10" s="1"/>
  <c r="K297" i="10" s="1"/>
  <c r="K225" i="10"/>
  <c r="K226" i="10" s="1"/>
  <c r="K227" i="10" s="1"/>
  <c r="K228" i="10" s="1"/>
  <c r="O254" i="10"/>
  <c r="O257" i="10" s="1"/>
  <c r="K259" i="10"/>
  <c r="K260" i="10" s="1"/>
  <c r="K261" i="10" s="1"/>
  <c r="K262" i="10" s="1"/>
  <c r="L256" i="10"/>
  <c r="M256" i="10" s="1"/>
  <c r="M255" i="10" s="1"/>
  <c r="M257" i="10"/>
  <c r="L257" i="10"/>
  <c r="L188" i="10"/>
  <c r="L187" i="10" s="1"/>
  <c r="K187" i="10"/>
  <c r="K118" i="10"/>
  <c r="L222" i="10"/>
  <c r="L221" i="10" s="1"/>
  <c r="L119" i="10"/>
  <c r="L118" i="10" s="1"/>
  <c r="K221" i="10"/>
  <c r="K328" i="10"/>
  <c r="K329" i="10" s="1"/>
  <c r="K330" i="10" s="1"/>
  <c r="K331" i="10" s="1"/>
  <c r="L325" i="10"/>
  <c r="M325" i="10" s="1"/>
  <c r="K362" i="10"/>
  <c r="K363" i="10" s="1"/>
  <c r="K364" i="10" s="1"/>
  <c r="K365" i="10" s="1"/>
  <c r="M326" i="10"/>
  <c r="L292" i="10"/>
  <c r="S356" i="10"/>
  <c r="R361" i="10"/>
  <c r="K290" i="10"/>
  <c r="O322" i="10"/>
  <c r="N323" i="10"/>
  <c r="N327" i="10"/>
  <c r="S253" i="10"/>
  <c r="R258" i="10"/>
  <c r="L291" i="10"/>
  <c r="K358" i="10"/>
  <c r="N288" i="10"/>
  <c r="M289" i="10"/>
  <c r="M293" i="10"/>
  <c r="L359" i="10"/>
  <c r="L358" i="10" s="1"/>
  <c r="L360" i="10"/>
  <c r="M357" i="10"/>
  <c r="N219" i="10"/>
  <c r="M224" i="10"/>
  <c r="M220" i="10"/>
  <c r="L223" i="10"/>
  <c r="L189" i="10"/>
  <c r="N185" i="10"/>
  <c r="M190" i="10"/>
  <c r="M186" i="10"/>
  <c r="N151" i="10"/>
  <c r="M156" i="10"/>
  <c r="M152" i="10"/>
  <c r="L153" i="10"/>
  <c r="L155" i="10"/>
  <c r="L157" i="10" s="1"/>
  <c r="L120" i="10"/>
  <c r="N116" i="10"/>
  <c r="M121" i="10"/>
  <c r="M117" i="10"/>
  <c r="L82" i="10"/>
  <c r="M79" i="10"/>
  <c r="N78" i="10"/>
  <c r="L81" i="10"/>
  <c r="N83" i="10" l="1"/>
  <c r="N256" i="10"/>
  <c r="N255" i="10" s="1"/>
  <c r="P254" i="10"/>
  <c r="P257" i="10" s="1"/>
  <c r="M259" i="10"/>
  <c r="M260" i="10" s="1"/>
  <c r="M261" i="10" s="1"/>
  <c r="M262" i="10" s="1"/>
  <c r="L259" i="10"/>
  <c r="L260" i="10" s="1"/>
  <c r="L261" i="10" s="1"/>
  <c r="L262" i="10" s="1"/>
  <c r="L255" i="10"/>
  <c r="L294" i="10"/>
  <c r="L295" i="10" s="1"/>
  <c r="L296" i="10" s="1"/>
  <c r="L297" i="10" s="1"/>
  <c r="L122" i="10"/>
  <c r="L123" i="10" s="1"/>
  <c r="L124" i="10" s="1"/>
  <c r="L125" i="10" s="1"/>
  <c r="L328" i="10"/>
  <c r="L329" i="10" s="1"/>
  <c r="L330" i="10" s="1"/>
  <c r="L331" i="10" s="1"/>
  <c r="M291" i="10"/>
  <c r="M290" i="10" s="1"/>
  <c r="L324" i="10"/>
  <c r="L225" i="10"/>
  <c r="L226" i="10" s="1"/>
  <c r="L227" i="10" s="1"/>
  <c r="L228" i="10" s="1"/>
  <c r="L191" i="10"/>
  <c r="L192" i="10" s="1"/>
  <c r="L193" i="10" s="1"/>
  <c r="L194" i="10" s="1"/>
  <c r="M328" i="10"/>
  <c r="M329" i="10" s="1"/>
  <c r="M330" i="10" s="1"/>
  <c r="M331" i="10" s="1"/>
  <c r="N325" i="10"/>
  <c r="N324" i="10" s="1"/>
  <c r="T253" i="10"/>
  <c r="S258" i="10"/>
  <c r="M360" i="10"/>
  <c r="N357" i="10"/>
  <c r="M359" i="10"/>
  <c r="T356" i="10"/>
  <c r="S361" i="10"/>
  <c r="L290" i="10"/>
  <c r="M324" i="10"/>
  <c r="N293" i="10"/>
  <c r="N289" i="10"/>
  <c r="N291" i="10" s="1"/>
  <c r="O288" i="10"/>
  <c r="L362" i="10"/>
  <c r="N326" i="10"/>
  <c r="P322" i="10"/>
  <c r="O327" i="10"/>
  <c r="O323" i="10"/>
  <c r="M292" i="10"/>
  <c r="M223" i="10"/>
  <c r="O219" i="10"/>
  <c r="N224" i="10"/>
  <c r="N220" i="10"/>
  <c r="M222" i="10"/>
  <c r="M221" i="10" s="1"/>
  <c r="M189" i="10"/>
  <c r="O185" i="10"/>
  <c r="N190" i="10"/>
  <c r="N186" i="10"/>
  <c r="M188" i="10"/>
  <c r="L158" i="10"/>
  <c r="L159" i="10" s="1"/>
  <c r="L160" i="10" s="1"/>
  <c r="M155" i="10"/>
  <c r="O151" i="10"/>
  <c r="N156" i="10"/>
  <c r="N152" i="10"/>
  <c r="M154" i="10"/>
  <c r="M153" i="10" s="1"/>
  <c r="O116" i="10"/>
  <c r="N121" i="10"/>
  <c r="N117" i="10"/>
  <c r="M120" i="10"/>
  <c r="M119" i="10"/>
  <c r="L84" i="10"/>
  <c r="L85" i="10" s="1"/>
  <c r="L86" i="10" s="1"/>
  <c r="L87" i="10" s="1"/>
  <c r="M82" i="10"/>
  <c r="N79" i="10"/>
  <c r="O78" i="10"/>
  <c r="L80" i="10"/>
  <c r="M81" i="10"/>
  <c r="O83" i="10" l="1"/>
  <c r="Q254" i="10"/>
  <c r="Q256" i="10" s="1"/>
  <c r="M294" i="10"/>
  <c r="M295" i="10" s="1"/>
  <c r="M296" i="10" s="1"/>
  <c r="M297" i="10" s="1"/>
  <c r="O256" i="10"/>
  <c r="O259" i="10" s="1"/>
  <c r="O260" i="10" s="1"/>
  <c r="O261" i="10" s="1"/>
  <c r="O262" i="10" s="1"/>
  <c r="N259" i="10"/>
  <c r="N260" i="10" s="1"/>
  <c r="N261" i="10" s="1"/>
  <c r="N262" i="10" s="1"/>
  <c r="M122" i="10"/>
  <c r="M123" i="10" s="1"/>
  <c r="M124" i="10" s="1"/>
  <c r="M125" i="10" s="1"/>
  <c r="M362" i="10"/>
  <c r="M363" i="10" s="1"/>
  <c r="M364" i="10" s="1"/>
  <c r="M365" i="10" s="1"/>
  <c r="N328" i="10"/>
  <c r="N329" i="10" s="1"/>
  <c r="N330" i="10" s="1"/>
  <c r="N331" i="10" s="1"/>
  <c r="M191" i="10"/>
  <c r="M192" i="10" s="1"/>
  <c r="M193" i="10" s="1"/>
  <c r="M194" i="10" s="1"/>
  <c r="N222" i="10"/>
  <c r="L363" i="10"/>
  <c r="L364" i="10" s="1"/>
  <c r="L365" i="10" s="1"/>
  <c r="T361" i="10"/>
  <c r="N360" i="10"/>
  <c r="N359" i="10"/>
  <c r="O357" i="10"/>
  <c r="Q322" i="10"/>
  <c r="P323" i="10"/>
  <c r="P327" i="10"/>
  <c r="Q257" i="10"/>
  <c r="R254" i="10"/>
  <c r="O293" i="10"/>
  <c r="O289" i="10"/>
  <c r="O291" i="10" s="1"/>
  <c r="P288" i="10"/>
  <c r="N290" i="10"/>
  <c r="N292" i="10"/>
  <c r="N294" i="10" s="1"/>
  <c r="T258" i="10"/>
  <c r="O326" i="10"/>
  <c r="O325" i="10"/>
  <c r="O324" i="10" s="1"/>
  <c r="M358" i="10"/>
  <c r="N119" i="10"/>
  <c r="N118" i="10" s="1"/>
  <c r="M84" i="10"/>
  <c r="N188" i="10"/>
  <c r="M187" i="10"/>
  <c r="O224" i="10"/>
  <c r="O220" i="10"/>
  <c r="P219" i="10"/>
  <c r="M225" i="10"/>
  <c r="N223" i="10"/>
  <c r="O190" i="10"/>
  <c r="O186" i="10"/>
  <c r="P185" i="10"/>
  <c r="N189" i="10"/>
  <c r="N155" i="10"/>
  <c r="O156" i="10"/>
  <c r="O152" i="10"/>
  <c r="P151" i="10"/>
  <c r="N154" i="10"/>
  <c r="M157" i="10"/>
  <c r="O121" i="10"/>
  <c r="O117" i="10"/>
  <c r="P116" i="10"/>
  <c r="M118" i="10"/>
  <c r="N120" i="10"/>
  <c r="N82" i="10"/>
  <c r="N81" i="10"/>
  <c r="M80" i="10"/>
  <c r="P78" i="10"/>
  <c r="O79" i="10"/>
  <c r="P83" i="10" l="1"/>
  <c r="P256" i="10"/>
  <c r="P255" i="10" s="1"/>
  <c r="O255" i="10"/>
  <c r="N157" i="10"/>
  <c r="N158" i="10" s="1"/>
  <c r="N159" i="10" s="1"/>
  <c r="N160" i="10" s="1"/>
  <c r="O222" i="10"/>
  <c r="O221" i="10" s="1"/>
  <c r="O188" i="10"/>
  <c r="O187" i="10" s="1"/>
  <c r="N191" i="10"/>
  <c r="N192" i="10" s="1"/>
  <c r="N193" i="10" s="1"/>
  <c r="N194" i="10" s="1"/>
  <c r="O119" i="10"/>
  <c r="O118" i="10" s="1"/>
  <c r="N84" i="10"/>
  <c r="N85" i="10" s="1"/>
  <c r="N86" i="10" s="1"/>
  <c r="N87" i="10" s="1"/>
  <c r="N362" i="10"/>
  <c r="N363" i="10" s="1"/>
  <c r="N364" i="10" s="1"/>
  <c r="N365" i="10" s="1"/>
  <c r="N122" i="10"/>
  <c r="N123" i="10" s="1"/>
  <c r="N124" i="10" s="1"/>
  <c r="N125" i="10" s="1"/>
  <c r="N187" i="10"/>
  <c r="N221" i="10"/>
  <c r="N225" i="10"/>
  <c r="N226" i="10" s="1"/>
  <c r="N227" i="10" s="1"/>
  <c r="N228" i="10" s="1"/>
  <c r="R257" i="10"/>
  <c r="R256" i="10"/>
  <c r="S254" i="10"/>
  <c r="Q327" i="10"/>
  <c r="Q323" i="10"/>
  <c r="R322" i="10"/>
  <c r="N358" i="10"/>
  <c r="P293" i="10"/>
  <c r="Q288" i="10"/>
  <c r="P289" i="10"/>
  <c r="P291" i="10" s="1"/>
  <c r="O290" i="10"/>
  <c r="O292" i="10"/>
  <c r="O294" i="10" s="1"/>
  <c r="N295" i="10"/>
  <c r="N296" i="10" s="1"/>
  <c r="N297" i="10" s="1"/>
  <c r="P326" i="10"/>
  <c r="Q259" i="10"/>
  <c r="P325" i="10"/>
  <c r="P324" i="10" s="1"/>
  <c r="O328" i="10"/>
  <c r="Q255" i="10"/>
  <c r="O360" i="10"/>
  <c r="O359" i="10"/>
  <c r="P357" i="10"/>
  <c r="P224" i="10"/>
  <c r="P220" i="10"/>
  <c r="Q219" i="10"/>
  <c r="M226" i="10"/>
  <c r="M227" i="10" s="1"/>
  <c r="M228" i="10" s="1"/>
  <c r="O223" i="10"/>
  <c r="O189" i="10"/>
  <c r="P190" i="10"/>
  <c r="P186" i="10"/>
  <c r="Q185" i="10"/>
  <c r="P156" i="10"/>
  <c r="P152" i="10"/>
  <c r="Q151" i="10"/>
  <c r="O154" i="10"/>
  <c r="O155" i="10"/>
  <c r="N153" i="10"/>
  <c r="M158" i="10"/>
  <c r="M159" i="10" s="1"/>
  <c r="M160" i="10" s="1"/>
  <c r="P121" i="10"/>
  <c r="P117" i="10"/>
  <c r="Q116" i="10"/>
  <c r="O120" i="10"/>
  <c r="M85" i="10"/>
  <c r="M86" i="10" s="1"/>
  <c r="M87" i="10" s="1"/>
  <c r="Q78" i="10"/>
  <c r="Q83" i="10" s="1"/>
  <c r="P79" i="10"/>
  <c r="N80" i="10"/>
  <c r="O82" i="10"/>
  <c r="O81" i="10"/>
  <c r="P259" i="10" l="1"/>
  <c r="P260" i="10" s="1"/>
  <c r="P261" i="10" s="1"/>
  <c r="P262" i="10" s="1"/>
  <c r="O225" i="10"/>
  <c r="P154" i="10"/>
  <c r="P153" i="10" s="1"/>
  <c r="O191" i="10"/>
  <c r="O192" i="10" s="1"/>
  <c r="O193" i="10" s="1"/>
  <c r="O194" i="10" s="1"/>
  <c r="P222" i="10"/>
  <c r="P221" i="10" s="1"/>
  <c r="P188" i="10"/>
  <c r="P187" i="10" s="1"/>
  <c r="O122" i="10"/>
  <c r="O123" i="10" s="1"/>
  <c r="O124" i="10" s="1"/>
  <c r="O125" i="10" s="1"/>
  <c r="O362" i="10"/>
  <c r="O363" i="10" s="1"/>
  <c r="O364" i="10" s="1"/>
  <c r="O365" i="10" s="1"/>
  <c r="O84" i="10"/>
  <c r="O85" i="10" s="1"/>
  <c r="O86" i="10" s="1"/>
  <c r="O87" i="10" s="1"/>
  <c r="R259" i="10"/>
  <c r="R260" i="10" s="1"/>
  <c r="R261" i="10" s="1"/>
  <c r="R262" i="10" s="1"/>
  <c r="P119" i="10"/>
  <c r="P118" i="10" s="1"/>
  <c r="Q289" i="10"/>
  <c r="Q291" i="10" s="1"/>
  <c r="R288" i="10"/>
  <c r="Q293" i="10"/>
  <c r="O358" i="10"/>
  <c r="O329" i="10"/>
  <c r="O330" i="10" s="1"/>
  <c r="O331" i="10" s="1"/>
  <c r="R255" i="10"/>
  <c r="P360" i="10"/>
  <c r="P359" i="10"/>
  <c r="Q357" i="10"/>
  <c r="Q326" i="10"/>
  <c r="S257" i="10"/>
  <c r="S256" i="10"/>
  <c r="T254" i="10"/>
  <c r="O295" i="10"/>
  <c r="O296" i="10" s="1"/>
  <c r="O297" i="10" s="1"/>
  <c r="P328" i="10"/>
  <c r="Q325" i="10"/>
  <c r="Q260" i="10"/>
  <c r="Q261" i="10" s="1"/>
  <c r="Q262" i="10" s="1"/>
  <c r="P292" i="10"/>
  <c r="P294" i="10" s="1"/>
  <c r="P290" i="10"/>
  <c r="R327" i="10"/>
  <c r="R323" i="10"/>
  <c r="S322" i="10"/>
  <c r="O226" i="10"/>
  <c r="O227" i="10" s="1"/>
  <c r="O228" i="10" s="1"/>
  <c r="Q224" i="10"/>
  <c r="Q220" i="10"/>
  <c r="R219" i="10"/>
  <c r="P223" i="10"/>
  <c r="P225" i="10" s="1"/>
  <c r="Q190" i="10"/>
  <c r="Q186" i="10"/>
  <c r="R185" i="10"/>
  <c r="P189" i="10"/>
  <c r="Q156" i="10"/>
  <c r="Q152" i="10"/>
  <c r="Q154" i="10" s="1"/>
  <c r="R151" i="10"/>
  <c r="O153" i="10"/>
  <c r="P155" i="10"/>
  <c r="O157" i="10"/>
  <c r="Q121" i="10"/>
  <c r="Q117" i="10"/>
  <c r="Q119" i="10" s="1"/>
  <c r="R116" i="10"/>
  <c r="P120" i="10"/>
  <c r="Q79" i="10"/>
  <c r="R78" i="10"/>
  <c r="R83" i="10" s="1"/>
  <c r="O80" i="10"/>
  <c r="P81" i="10"/>
  <c r="P82" i="10"/>
  <c r="P157" i="10" l="1"/>
  <c r="P191" i="10"/>
  <c r="P192" i="10" s="1"/>
  <c r="P193" i="10" s="1"/>
  <c r="P194" i="10" s="1"/>
  <c r="Q188" i="10"/>
  <c r="Q187" i="10" s="1"/>
  <c r="Q222" i="10"/>
  <c r="Q221" i="10" s="1"/>
  <c r="S259" i="10"/>
  <c r="S260" i="10" s="1"/>
  <c r="S261" i="10" s="1"/>
  <c r="S262" i="10" s="1"/>
  <c r="P362" i="10"/>
  <c r="P363" i="10" s="1"/>
  <c r="P364" i="10" s="1"/>
  <c r="P365" i="10" s="1"/>
  <c r="Q328" i="10"/>
  <c r="Q329" i="10" s="1"/>
  <c r="Q330" i="10" s="1"/>
  <c r="Q331" i="10" s="1"/>
  <c r="P122" i="10"/>
  <c r="P123" i="10" s="1"/>
  <c r="P124" i="10" s="1"/>
  <c r="P125" i="10" s="1"/>
  <c r="P295" i="10"/>
  <c r="P296" i="10" s="1"/>
  <c r="P297" i="10" s="1"/>
  <c r="Q360" i="10"/>
  <c r="Q359" i="10"/>
  <c r="R357" i="10"/>
  <c r="T257" i="10"/>
  <c r="T256" i="10"/>
  <c r="P358" i="10"/>
  <c r="S327" i="10"/>
  <c r="T322" i="10"/>
  <c r="S323" i="10"/>
  <c r="S255" i="10"/>
  <c r="R326" i="10"/>
  <c r="R289" i="10"/>
  <c r="R291" i="10" s="1"/>
  <c r="R293" i="10"/>
  <c r="S288" i="10"/>
  <c r="R325" i="10"/>
  <c r="P329" i="10"/>
  <c r="P330" i="10" s="1"/>
  <c r="P331" i="10" s="1"/>
  <c r="Q324" i="10"/>
  <c r="Q292" i="10"/>
  <c r="Q294" i="10" s="1"/>
  <c r="Q290" i="10"/>
  <c r="P226" i="10"/>
  <c r="P227" i="10" s="1"/>
  <c r="P228" i="10" s="1"/>
  <c r="R220" i="10"/>
  <c r="S219" i="10"/>
  <c r="R224" i="10"/>
  <c r="Q223" i="10"/>
  <c r="R186" i="10"/>
  <c r="S185" i="10"/>
  <c r="R190" i="10"/>
  <c r="Q189" i="10"/>
  <c r="P158" i="10"/>
  <c r="P159" i="10" s="1"/>
  <c r="P160" i="10" s="1"/>
  <c r="R152" i="10"/>
  <c r="R154" i="10" s="1"/>
  <c r="S151" i="10"/>
  <c r="R156" i="10"/>
  <c r="Q153" i="10"/>
  <c r="Q155" i="10"/>
  <c r="Q157" i="10" s="1"/>
  <c r="O158" i="10"/>
  <c r="O159" i="10" s="1"/>
  <c r="O160" i="10" s="1"/>
  <c r="Q118" i="10"/>
  <c r="Q120" i="10"/>
  <c r="Q122" i="10" s="1"/>
  <c r="R117" i="10"/>
  <c r="R119" i="10" s="1"/>
  <c r="S116" i="10"/>
  <c r="R121" i="10"/>
  <c r="P84" i="10"/>
  <c r="Q81" i="10"/>
  <c r="R79" i="10"/>
  <c r="S78" i="10"/>
  <c r="S83" i="10" s="1"/>
  <c r="P80" i="10"/>
  <c r="Q82" i="10"/>
  <c r="R222" i="10" l="1"/>
  <c r="R221" i="10" s="1"/>
  <c r="R328" i="10"/>
  <c r="R329" i="10" s="1"/>
  <c r="R330" i="10" s="1"/>
  <c r="R331" i="10" s="1"/>
  <c r="Q225" i="10"/>
  <c r="Q226" i="10" s="1"/>
  <c r="Q227" i="10" s="1"/>
  <c r="Q228" i="10" s="1"/>
  <c r="Q191" i="10"/>
  <c r="Q192" i="10" s="1"/>
  <c r="Q193" i="10" s="1"/>
  <c r="Q194" i="10" s="1"/>
  <c r="R188" i="10"/>
  <c r="R187" i="10" s="1"/>
  <c r="Q362" i="10"/>
  <c r="Q363" i="10" s="1"/>
  <c r="Q364" i="10" s="1"/>
  <c r="Q365" i="10" s="1"/>
  <c r="S325" i="10"/>
  <c r="S324" i="10" s="1"/>
  <c r="R324" i="10"/>
  <c r="Q295" i="10"/>
  <c r="Q296" i="10" s="1"/>
  <c r="Q297" i="10" s="1"/>
  <c r="T288" i="10"/>
  <c r="S289" i="10"/>
  <c r="S293" i="10"/>
  <c r="R360" i="10"/>
  <c r="R359" i="10"/>
  <c r="S357" i="10"/>
  <c r="R292" i="10"/>
  <c r="R294" i="10" s="1"/>
  <c r="R290" i="10"/>
  <c r="S326" i="10"/>
  <c r="T259" i="10"/>
  <c r="Q358" i="10"/>
  <c r="T323" i="10"/>
  <c r="T327" i="10"/>
  <c r="T255" i="10"/>
  <c r="R223" i="10"/>
  <c r="S220" i="10"/>
  <c r="T219" i="10"/>
  <c r="S224" i="10"/>
  <c r="R189" i="10"/>
  <c r="S186" i="10"/>
  <c r="T185" i="10"/>
  <c r="S190" i="10"/>
  <c r="Q158" i="10"/>
  <c r="Q159" i="10" s="1"/>
  <c r="Q160" i="10" s="1"/>
  <c r="S152" i="10"/>
  <c r="S154" i="10" s="1"/>
  <c r="T151" i="10"/>
  <c r="S156" i="10"/>
  <c r="R155" i="10"/>
  <c r="R157" i="10" s="1"/>
  <c r="R153" i="10"/>
  <c r="Q123" i="10"/>
  <c r="Q124" i="10" s="1"/>
  <c r="Q125" i="10" s="1"/>
  <c r="S117" i="10"/>
  <c r="S119" i="10" s="1"/>
  <c r="T116" i="10"/>
  <c r="S121" i="10"/>
  <c r="R120" i="10"/>
  <c r="R122" i="10" s="1"/>
  <c r="R118" i="10"/>
  <c r="Q80" i="10"/>
  <c r="Q84" i="10"/>
  <c r="Q85" i="10" s="1"/>
  <c r="Q86" i="10" s="1"/>
  <c r="Q87" i="10" s="1"/>
  <c r="R81" i="10"/>
  <c r="R82" i="10"/>
  <c r="T78" i="10"/>
  <c r="T83" i="10" s="1"/>
  <c r="S79" i="10"/>
  <c r="P85" i="10"/>
  <c r="P86" i="10" s="1"/>
  <c r="P87" i="10" s="1"/>
  <c r="S222" i="10" l="1"/>
  <c r="S221" i="10" s="1"/>
  <c r="R225" i="10"/>
  <c r="R226" i="10" s="1"/>
  <c r="R227" i="10" s="1"/>
  <c r="R228" i="10" s="1"/>
  <c r="R191" i="10"/>
  <c r="R192" i="10" s="1"/>
  <c r="R193" i="10" s="1"/>
  <c r="R194" i="10" s="1"/>
  <c r="S188" i="10"/>
  <c r="S187" i="10" s="1"/>
  <c r="R362" i="10"/>
  <c r="R363" i="10" s="1"/>
  <c r="T325" i="10"/>
  <c r="T324" i="10" s="1"/>
  <c r="S328" i="10"/>
  <c r="S329" i="10" s="1"/>
  <c r="S330" i="10" s="1"/>
  <c r="S331" i="10" s="1"/>
  <c r="R295" i="10"/>
  <c r="R296" i="10" s="1"/>
  <c r="R297" i="10" s="1"/>
  <c r="S292" i="10"/>
  <c r="T326" i="10"/>
  <c r="S291" i="10"/>
  <c r="S290" i="10" s="1"/>
  <c r="T260" i="10"/>
  <c r="T261" i="10" s="1"/>
  <c r="T262" i="10" s="1"/>
  <c r="U262" i="10" s="1"/>
  <c r="J264" i="10" s="1"/>
  <c r="T293" i="10"/>
  <c r="T289" i="10"/>
  <c r="S360" i="10"/>
  <c r="S359" i="10"/>
  <c r="T357" i="10"/>
  <c r="R358" i="10"/>
  <c r="S81" i="10"/>
  <c r="S80" i="10" s="1"/>
  <c r="R84" i="10"/>
  <c r="R85" i="10" s="1"/>
  <c r="R86" i="10" s="1"/>
  <c r="R87" i="10" s="1"/>
  <c r="T220" i="10"/>
  <c r="T224" i="10"/>
  <c r="S223" i="10"/>
  <c r="T186" i="10"/>
  <c r="T190" i="10"/>
  <c r="S189" i="10"/>
  <c r="R158" i="10"/>
  <c r="R159" i="10" s="1"/>
  <c r="R160" i="10" s="1"/>
  <c r="T152" i="10"/>
  <c r="T154" i="10" s="1"/>
  <c r="T156" i="10"/>
  <c r="S155" i="10"/>
  <c r="S157" i="10" s="1"/>
  <c r="S153" i="10"/>
  <c r="R123" i="10"/>
  <c r="R124" i="10" s="1"/>
  <c r="R125" i="10" s="1"/>
  <c r="S120" i="10"/>
  <c r="S122" i="10" s="1"/>
  <c r="S118" i="10"/>
  <c r="T117" i="10"/>
  <c r="T119" i="10" s="1"/>
  <c r="T121" i="10"/>
  <c r="R80" i="10"/>
  <c r="T79" i="10"/>
  <c r="S82" i="10"/>
  <c r="T222" i="10" l="1"/>
  <c r="T221" i="10" s="1"/>
  <c r="S225" i="10"/>
  <c r="S226" i="10" s="1"/>
  <c r="S227" i="10" s="1"/>
  <c r="S228" i="10" s="1"/>
  <c r="T188" i="10"/>
  <c r="T187" i="10" s="1"/>
  <c r="S191" i="10"/>
  <c r="S192" i="10" s="1"/>
  <c r="S193" i="10" s="1"/>
  <c r="S194" i="10" s="1"/>
  <c r="R364" i="10"/>
  <c r="R365" i="10" s="1"/>
  <c r="T328" i="10"/>
  <c r="T329" i="10" s="1"/>
  <c r="T330" i="10" s="1"/>
  <c r="T331" i="10" s="1"/>
  <c r="U331" i="10" s="1"/>
  <c r="J333" i="10" s="1"/>
  <c r="S362" i="10"/>
  <c r="S363" i="10" s="1"/>
  <c r="S364" i="10" s="1"/>
  <c r="S365" i="10" s="1"/>
  <c r="T292" i="10"/>
  <c r="T291" i="10"/>
  <c r="T360" i="10"/>
  <c r="T359" i="10"/>
  <c r="S358" i="10"/>
  <c r="S294" i="10"/>
  <c r="S84" i="10"/>
  <c r="S85" i="10" s="1"/>
  <c r="S86" i="10" s="1"/>
  <c r="S87" i="10" s="1"/>
  <c r="T223" i="10"/>
  <c r="T189" i="10"/>
  <c r="S158" i="10"/>
  <c r="S159" i="10" s="1"/>
  <c r="S160" i="10" s="1"/>
  <c r="T153" i="10"/>
  <c r="T155" i="10"/>
  <c r="T157" i="10" s="1"/>
  <c r="S123" i="10"/>
  <c r="S124" i="10" s="1"/>
  <c r="S125" i="10" s="1"/>
  <c r="T118" i="10"/>
  <c r="T120" i="10"/>
  <c r="T122" i="10" s="1"/>
  <c r="T82" i="10"/>
  <c r="T81" i="10"/>
  <c r="T191" i="10" l="1"/>
  <c r="T192" i="10" s="1"/>
  <c r="T193" i="10" s="1"/>
  <c r="T194" i="10" s="1"/>
  <c r="U194" i="10" s="1"/>
  <c r="J196" i="10" s="1"/>
  <c r="T225" i="10"/>
  <c r="T226" i="10" s="1"/>
  <c r="T227" i="10" s="1"/>
  <c r="T228" i="10" s="1"/>
  <c r="U228" i="10" s="1"/>
  <c r="J230" i="10" s="1"/>
  <c r="T294" i="10"/>
  <c r="T295" i="10" s="1"/>
  <c r="T296" i="10" s="1"/>
  <c r="T297" i="10" s="1"/>
  <c r="U297" i="10" s="1"/>
  <c r="T362" i="10"/>
  <c r="T363" i="10" s="1"/>
  <c r="T364" i="10" s="1"/>
  <c r="T365" i="10" s="1"/>
  <c r="U365" i="10" s="1"/>
  <c r="J367" i="10" s="1"/>
  <c r="S295" i="10"/>
  <c r="S296" i="10" s="1"/>
  <c r="S297" i="10" s="1"/>
  <c r="T358" i="10"/>
  <c r="T290" i="10"/>
  <c r="T84" i="10"/>
  <c r="T85" i="10" s="1"/>
  <c r="T86" i="10" s="1"/>
  <c r="T87" i="10" s="1"/>
  <c r="U87" i="10" s="1"/>
  <c r="J89" i="10" s="1"/>
  <c r="T158" i="10"/>
  <c r="T159" i="10" s="1"/>
  <c r="T160" i="10" s="1"/>
  <c r="U160" i="10" s="1"/>
  <c r="J162" i="10" s="1"/>
  <c r="T123" i="10"/>
  <c r="T124" i="10" s="1"/>
  <c r="T125" i="10" s="1"/>
  <c r="U125" i="10" s="1"/>
  <c r="J127" i="10" s="1"/>
  <c r="T80" i="10"/>
  <c r="J299" i="10" l="1"/>
  <c r="J109" i="6" l="1"/>
  <c r="J107" i="6"/>
  <c r="J106" i="6"/>
  <c r="K105" i="6"/>
  <c r="L105" i="6" s="1"/>
  <c r="M101" i="6"/>
  <c r="M100" i="6"/>
  <c r="M99" i="6"/>
  <c r="M94" i="6"/>
  <c r="J76" i="6"/>
  <c r="J74" i="6"/>
  <c r="J73" i="6"/>
  <c r="L66" i="6"/>
  <c r="M66" i="6" s="1"/>
  <c r="L61" i="6"/>
  <c r="M61" i="6" s="1"/>
  <c r="M68" i="6"/>
  <c r="M67" i="6"/>
  <c r="K72" i="6"/>
  <c r="L69" i="6" l="1"/>
  <c r="J108" i="6"/>
  <c r="J110" i="6" s="1"/>
  <c r="J111" i="6" s="1"/>
  <c r="J112" i="6" s="1"/>
  <c r="J75" i="6"/>
  <c r="J77" i="6" s="1"/>
  <c r="J78" i="6" s="1"/>
  <c r="L102" i="6"/>
  <c r="K106" i="6"/>
  <c r="K108" i="6" s="1"/>
  <c r="L72" i="6"/>
  <c r="K73" i="6"/>
  <c r="K75" i="6" s="1"/>
  <c r="K74" i="6" s="1"/>
  <c r="M105" i="6"/>
  <c r="K76" i="6" l="1"/>
  <c r="L106" i="6"/>
  <c r="L108" i="6" s="1"/>
  <c r="J79" i="6"/>
  <c r="K107" i="6"/>
  <c r="K109" i="6"/>
  <c r="K110" i="6" s="1"/>
  <c r="K77" i="6"/>
  <c r="K78" i="6" s="1"/>
  <c r="K79" i="6" s="1"/>
  <c r="K80" i="6" s="1"/>
  <c r="L73" i="6"/>
  <c r="M72" i="6"/>
  <c r="N105" i="6"/>
  <c r="L109" i="6" l="1"/>
  <c r="L110" i="6" s="1"/>
  <c r="L111" i="6" s="1"/>
  <c r="L112" i="6" s="1"/>
  <c r="L113" i="6" s="1"/>
  <c r="L107" i="6"/>
  <c r="M106" i="6"/>
  <c r="M108" i="6" s="1"/>
  <c r="L75" i="6"/>
  <c r="L76" i="6"/>
  <c r="N72" i="6"/>
  <c r="M73" i="6"/>
  <c r="O105" i="6"/>
  <c r="K111" i="6"/>
  <c r="K112" i="6" s="1"/>
  <c r="K113" i="6" s="1"/>
  <c r="M107" i="6" l="1"/>
  <c r="N106" i="6"/>
  <c r="N109" i="6" s="1"/>
  <c r="M109" i="6"/>
  <c r="M110" i="6" s="1"/>
  <c r="M111" i="6" s="1"/>
  <c r="M112" i="6" s="1"/>
  <c r="M113" i="6" s="1"/>
  <c r="M75" i="6"/>
  <c r="M74" i="6" s="1"/>
  <c r="M76" i="6"/>
  <c r="N73" i="6"/>
  <c r="O72" i="6"/>
  <c r="L77" i="6"/>
  <c r="L78" i="6" s="1"/>
  <c r="L79" i="6" s="1"/>
  <c r="L80" i="6" s="1"/>
  <c r="L74" i="6"/>
  <c r="P105" i="6"/>
  <c r="N108" i="6" l="1"/>
  <c r="N107" i="6" s="1"/>
  <c r="O106" i="6"/>
  <c r="N75" i="6"/>
  <c r="N74" i="6" s="1"/>
  <c r="M77" i="6"/>
  <c r="M78" i="6" s="1"/>
  <c r="N76" i="6"/>
  <c r="O73" i="6"/>
  <c r="P72" i="6"/>
  <c r="P106" i="6"/>
  <c r="P108" i="6" s="1"/>
  <c r="Q105" i="6"/>
  <c r="O109" i="6"/>
  <c r="O108" i="6"/>
  <c r="N110" i="6" l="1"/>
  <c r="O75" i="6"/>
  <c r="O74" i="6" s="1"/>
  <c r="N77" i="6"/>
  <c r="N78" i="6" s="1"/>
  <c r="N79" i="6" s="1"/>
  <c r="N80" i="6" s="1"/>
  <c r="M79" i="6"/>
  <c r="M80" i="6" s="1"/>
  <c r="O76" i="6"/>
  <c r="O110" i="6"/>
  <c r="O111" i="6" s="1"/>
  <c r="P73" i="6"/>
  <c r="Q72" i="6"/>
  <c r="R105" i="6"/>
  <c r="Q106" i="6"/>
  <c r="N111" i="6"/>
  <c r="N112" i="6" s="1"/>
  <c r="N113" i="6" s="1"/>
  <c r="P107" i="6"/>
  <c r="P109" i="6"/>
  <c r="P110" i="6" s="1"/>
  <c r="O107" i="6"/>
  <c r="P75" i="6" l="1"/>
  <c r="O77" i="6"/>
  <c r="O78" i="6" s="1"/>
  <c r="O79" i="6" s="1"/>
  <c r="O80" i="6" s="1"/>
  <c r="O112" i="6"/>
  <c r="O113" i="6" s="1"/>
  <c r="R72" i="6"/>
  <c r="Q73" i="6"/>
  <c r="Q75" i="6" s="1"/>
  <c r="P76" i="6"/>
  <c r="P77" i="6" s="1"/>
  <c r="P78" i="6" s="1"/>
  <c r="P79" i="6" s="1"/>
  <c r="P80" i="6" s="1"/>
  <c r="P74" i="6"/>
  <c r="P111" i="6"/>
  <c r="P112" i="6" s="1"/>
  <c r="P113" i="6" s="1"/>
  <c r="Q109" i="6"/>
  <c r="Q108" i="6"/>
  <c r="S105" i="6"/>
  <c r="R106" i="6"/>
  <c r="Q110" i="6" l="1"/>
  <c r="Q111" i="6" s="1"/>
  <c r="Q112" i="6" s="1"/>
  <c r="Q113" i="6" s="1"/>
  <c r="Q76" i="6"/>
  <c r="Q77" i="6" s="1"/>
  <c r="Q74" i="6"/>
  <c r="R73" i="6"/>
  <c r="R75" i="6" s="1"/>
  <c r="S72" i="6"/>
  <c r="R109" i="6"/>
  <c r="T105" i="6"/>
  <c r="S106" i="6"/>
  <c r="Q107" i="6"/>
  <c r="R108" i="6"/>
  <c r="R76" i="6" l="1"/>
  <c r="R77" i="6" s="1"/>
  <c r="R78" i="6" s="1"/>
  <c r="R79" i="6" s="1"/>
  <c r="R80" i="6" s="1"/>
  <c r="R74" i="6"/>
  <c r="S73" i="6"/>
  <c r="S75" i="6" s="1"/>
  <c r="T72" i="6"/>
  <c r="Q78" i="6"/>
  <c r="Q79" i="6" s="1"/>
  <c r="Q80" i="6" s="1"/>
  <c r="S109" i="6"/>
  <c r="T106" i="6"/>
  <c r="T108" i="6" s="1"/>
  <c r="R110" i="6"/>
  <c r="S108" i="6"/>
  <c r="S107" i="6" s="1"/>
  <c r="R107" i="6"/>
  <c r="T73" i="6" l="1"/>
  <c r="S76" i="6"/>
  <c r="S77" i="6" s="1"/>
  <c r="S74" i="6"/>
  <c r="T109" i="6"/>
  <c r="T110" i="6" s="1"/>
  <c r="T107" i="6"/>
  <c r="S110" i="6"/>
  <c r="R111" i="6"/>
  <c r="R112" i="6" s="1"/>
  <c r="R113" i="6" s="1"/>
  <c r="T76" i="6" l="1"/>
  <c r="S78" i="6"/>
  <c r="S79" i="6" s="1"/>
  <c r="S80" i="6" s="1"/>
  <c r="T75" i="6"/>
  <c r="T74" i="6" s="1"/>
  <c r="T111" i="6"/>
  <c r="T112" i="6" s="1"/>
  <c r="T113" i="6" s="1"/>
  <c r="U113" i="6" s="1"/>
  <c r="S111" i="6"/>
  <c r="S112" i="6" s="1"/>
  <c r="S113" i="6" s="1"/>
  <c r="J115" i="6" l="1"/>
  <c r="T77" i="6"/>
  <c r="T78" i="6" l="1"/>
  <c r="T79" i="6" s="1"/>
  <c r="T80" i="6" s="1"/>
  <c r="U80" i="6" s="1"/>
  <c r="J82" i="6" s="1"/>
  <c r="F2" i="14"/>
  <c r="F12" i="6"/>
  <c r="F19" i="6"/>
  <c r="F16" i="6"/>
  <c r="D10" i="6"/>
  <c r="D26" i="6"/>
  <c r="F11" i="6"/>
  <c r="F3" i="6"/>
  <c r="F32" i="6"/>
  <c r="F8" i="6"/>
  <c r="E6" i="6"/>
  <c r="C18" i="6"/>
  <c r="F27" i="6"/>
  <c r="F4" i="6"/>
  <c r="F23" i="6"/>
  <c r="E30" i="6"/>
  <c r="C25" i="6"/>
  <c r="C9" i="6"/>
  <c r="F28" i="6"/>
  <c r="F20" i="6"/>
  <c r="F15" i="6"/>
  <c r="F24" i="6"/>
  <c r="F7" i="6"/>
  <c r="E22" i="6"/>
  <c r="F31" i="6"/>
  <c r="E14" i="6"/>
  <c r="A15" i="14"/>
  <c r="A14" i="14"/>
  <c r="A22" i="14"/>
  <c r="A21" i="14"/>
  <c r="A24" i="14"/>
  <c r="A16" i="14"/>
  <c r="A11" i="14"/>
  <c r="A20" i="14"/>
  <c r="A17" i="14"/>
  <c r="A25" i="14"/>
  <c r="A13" i="14"/>
  <c r="A12" i="14"/>
  <c r="A19" i="14"/>
  <c r="A18" i="14"/>
  <c r="A23" i="14"/>
</calcChain>
</file>

<file path=xl/sharedStrings.xml><?xml version="1.0" encoding="utf-8"?>
<sst xmlns="http://schemas.openxmlformats.org/spreadsheetml/2006/main" count="695" uniqueCount="160">
  <si>
    <t>Assumptions:</t>
  </si>
  <si>
    <t>Revenue</t>
  </si>
  <si>
    <t>Gross Margin</t>
  </si>
  <si>
    <t>SG&amp;A</t>
  </si>
  <si>
    <t>Operating profit</t>
  </si>
  <si>
    <t>Tax rate</t>
  </si>
  <si>
    <t>Taxes</t>
  </si>
  <si>
    <t>Profit After Tax</t>
  </si>
  <si>
    <t>Discounted Cash Flows</t>
  </si>
  <si>
    <t>Terminal</t>
  </si>
  <si>
    <t>Terminal growth rate</t>
  </si>
  <si>
    <t>Net Present Value</t>
  </si>
  <si>
    <t>Actual</t>
  </si>
  <si>
    <t>COGS</t>
  </si>
  <si>
    <t>Gross Profit Margin (2010)</t>
  </si>
  <si>
    <t>Discount rate</t>
  </si>
  <si>
    <t>Revenue Growth rate (2010)</t>
  </si>
  <si>
    <t>Year Google Hits Target Revenue Growth</t>
  </si>
  <si>
    <t>Year Google Hits Target Margin</t>
  </si>
  <si>
    <t>Revenue Growth rate (Google Target)</t>
  </si>
  <si>
    <t>Gross Profit Margin (Google Target)</t>
  </si>
  <si>
    <t>Gap</t>
  </si>
  <si>
    <t>Years</t>
  </si>
  <si>
    <t>SG&amp;A % of sales (2010)</t>
  </si>
  <si>
    <t>Estimated ==&gt;</t>
  </si>
  <si>
    <t>Scenario 1 -- Hello Moto (Google improves quality, expands share, price point)</t>
  </si>
  <si>
    <t>Base Case -- Dropped Signal (Stand Alone value excluding cash assets)</t>
  </si>
  <si>
    <t>Name</t>
  </si>
  <si>
    <t>SheetRef</t>
  </si>
  <si>
    <t>GenInfo</t>
  </si>
  <si>
    <t>Def. Link</t>
  </si>
  <si>
    <t>EXT REFS</t>
  </si>
  <si>
    <t>Def. Form</t>
  </si>
  <si>
    <t>Calc Macro</t>
  </si>
  <si>
    <t>Highest#</t>
  </si>
  <si>
    <t>Ptree1 Compatibility</t>
  </si>
  <si>
    <t>Eval. Function</t>
  </si>
  <si>
    <t>Creation Version</t>
  </si>
  <si>
    <t>Required Version</t>
  </si>
  <si>
    <t>Recommended Version</t>
  </si>
  <si>
    <t>Last Modified By Version</t>
  </si>
  <si>
    <t>Output Label</t>
  </si>
  <si>
    <t>Output Value NF</t>
  </si>
  <si>
    <t>Output Prob NF</t>
  </si>
  <si>
    <t>Input Value NF</t>
  </si>
  <si>
    <t>Input Prob NF</t>
  </si>
  <si>
    <t>R-Value Ref.</t>
  </si>
  <si>
    <t>Anchor Cell</t>
  </si>
  <si>
    <t>Branch Name</t>
  </si>
  <si>
    <t>bformtype</t>
  </si>
  <si>
    <t>valformula</t>
  </si>
  <si>
    <t>pbformula</t>
  </si>
  <si>
    <t>distribution</t>
  </si>
  <si>
    <t>cumPayoffFunction</t>
  </si>
  <si>
    <t>link</t>
  </si>
  <si>
    <t>ENDNODEFORMULA</t>
  </si>
  <si>
    <t>VAL</t>
  </si>
  <si>
    <t>PB</t>
  </si>
  <si>
    <t>IntRefs</t>
  </si>
  <si>
    <t>RefRefs</t>
  </si>
  <si>
    <t>NodeNames</t>
  </si>
  <si>
    <t>Collapsed</t>
  </si>
  <si>
    <t>=</t>
  </si>
  <si>
    <t>5.7.1</t>
  </si>
  <si>
    <t>5.0.0</t>
  </si>
  <si>
    <t>&lt;NF&gt;</t>
  </si>
  <si>
    <t>Automatic</t>
  </si>
  <si>
    <t/>
  </si>
  <si>
    <t>DEFAULT</t>
  </si>
  <si>
    <t>0</t>
  </si>
  <si>
    <t>Kollege Klub</t>
  </si>
  <si>
    <t>Bliss</t>
  </si>
  <si>
    <t>4,0,0,0,3,0,0</t>
  </si>
  <si>
    <t>4,0,0,0,4,0,0</t>
  </si>
  <si>
    <r>
      <rPr>
        <b/>
        <sz val="14"/>
        <color rgb="FFFF0000"/>
        <rFont val="Symbol"/>
        <family val="1"/>
        <charset val="2"/>
      </rPr>
      <t>©</t>
    </r>
    <r>
      <rPr>
        <b/>
        <sz val="14"/>
        <color theme="2"/>
        <rFont val="Calibri"/>
        <family val="2"/>
        <scheme val="minor"/>
      </rPr>
      <t>Dating Game</t>
    </r>
    <r>
      <rPr>
        <b/>
        <sz val="14"/>
        <color rgb="FFFF0000"/>
        <rFont val="Symbol"/>
        <family val="1"/>
        <charset val="2"/>
      </rPr>
      <t>©</t>
    </r>
  </si>
  <si>
    <t>4,0,0,0,5,0,0</t>
  </si>
  <si>
    <t>Stalker</t>
  </si>
  <si>
    <t>2,0,0,2,2,3,0,0,0</t>
  </si>
  <si>
    <t>1,0,0,2,4,5,1,0,0</t>
  </si>
  <si>
    <t>1,0,0,2,6,7,2,0,0</t>
  </si>
  <si>
    <t>Base margin from Motorola's prior performance</t>
  </si>
  <si>
    <t>*</t>
  </si>
  <si>
    <t>Gap (between Google's new target margin and prior performance)</t>
  </si>
  <si>
    <t>Years to reach target (straight-line improvement until goal is reached)</t>
  </si>
  <si>
    <t>Base sales growth rate from Motorola's prior performance</t>
  </si>
  <si>
    <t>Gap (between Google's new target revenue growth and prior performance)</t>
  </si>
  <si>
    <t>*Key strategic parameters to adjust based on the scenario</t>
  </si>
  <si>
    <t>Android Ad profit</t>
  </si>
  <si>
    <t>Android ad revenue growth rate (2010)</t>
  </si>
  <si>
    <t>Motorola revenue growth rate (2010)</t>
  </si>
  <si>
    <t>Motorola revenue growth (Google's target)</t>
  </si>
  <si>
    <t>Yr Motorola target revenue growth reached</t>
  </si>
  <si>
    <t>Yr Android target growth reached</t>
  </si>
  <si>
    <t>Gap (between Google's projected revenue growth and prior performance)</t>
  </si>
  <si>
    <r>
      <t>Scenario 1: Hello Moto</t>
    </r>
    <r>
      <rPr>
        <sz val="11"/>
        <color theme="2"/>
        <rFont val="Calibri"/>
        <family val="2"/>
        <scheme val="minor"/>
      </rPr>
      <t xml:space="preserve"> (Apple loses in court, Google improves quality/share/margin, partners stay)</t>
    </r>
  </si>
  <si>
    <r>
      <t>Base Case -- Dropped Signal</t>
    </r>
    <r>
      <rPr>
        <sz val="11"/>
        <color theme="2"/>
        <rFont val="Calibri"/>
        <family val="2"/>
        <scheme val="minor"/>
      </rPr>
      <t xml:space="preserve"> (Stand Alone value excluding cash assets, Android profit assumes Apple wins, partners stay)</t>
    </r>
  </si>
  <si>
    <t>Android ad revenue growth (Google target)</t>
  </si>
  <si>
    <r>
      <t>Scenario 2: Hello Moto, goodbye partners</t>
    </r>
    <r>
      <rPr>
        <sz val="11"/>
        <color theme="2"/>
        <rFont val="Calibri"/>
        <family val="2"/>
        <scheme val="minor"/>
      </rPr>
      <t xml:space="preserve"> (Apple loses in court, Google improves quality/share/margin, partners bolt)</t>
    </r>
  </si>
  <si>
    <t>Motorola Gross Profit Margin (2010)</t>
  </si>
  <si>
    <t>Motorola gross margin (Google's target)</t>
  </si>
  <si>
    <t>Yr Google Hits Target Motorola Margin</t>
  </si>
  <si>
    <r>
      <t>Scenario 3: No Moto, Partners for life</t>
    </r>
    <r>
      <rPr>
        <sz val="11"/>
        <color theme="2"/>
        <rFont val="Calibri"/>
        <family val="2"/>
        <scheme val="minor"/>
      </rPr>
      <t xml:space="preserve"> (Apple loses in court, no differentiation value for Motorola, partners stay)</t>
    </r>
  </si>
  <si>
    <r>
      <t>Scenario 4: No Moto, No Partners</t>
    </r>
    <r>
      <rPr>
        <sz val="11"/>
        <color theme="2"/>
        <rFont val="Calibri"/>
        <family val="2"/>
        <scheme val="minor"/>
      </rPr>
      <t xml:space="preserve"> (Apple loses in court, No differentiation value, partners bolt)</t>
    </r>
  </si>
  <si>
    <r>
      <t>Scenario 5: Apple Bytes Moto</t>
    </r>
    <r>
      <rPr>
        <sz val="11"/>
        <color theme="2"/>
        <rFont val="Calibri"/>
        <family val="2"/>
        <scheme val="minor"/>
      </rPr>
      <t xml:space="preserve"> (Apple wins in court, Google improves quality/share/margin, partners stay)</t>
    </r>
  </si>
  <si>
    <r>
      <t>Scenario 6: Apple bytes Moto, goodbye partners</t>
    </r>
    <r>
      <rPr>
        <sz val="11"/>
        <color theme="2"/>
        <rFont val="Calibri"/>
        <family val="2"/>
        <scheme val="minor"/>
      </rPr>
      <t xml:space="preserve"> (Apple wins in court, Google improves quality/share/margin, partners bolt)</t>
    </r>
  </si>
  <si>
    <r>
      <t>Scenario 7: Apple bytes Moto, Partners for life</t>
    </r>
    <r>
      <rPr>
        <sz val="11"/>
        <color theme="2"/>
        <rFont val="Calibri"/>
        <family val="2"/>
        <scheme val="minor"/>
      </rPr>
      <t xml:space="preserve"> (Apple wins in court, no differentiation value for Motorola, partners stay)</t>
    </r>
  </si>
  <si>
    <r>
      <t>Scenario 8: Apple bytes Moto, No Partners</t>
    </r>
    <r>
      <rPr>
        <sz val="11"/>
        <color theme="2"/>
        <rFont val="Calibri"/>
        <family val="2"/>
        <scheme val="minor"/>
      </rPr>
      <t xml:space="preserve"> (Apple wins in court, No differentiation value, partners bolt)</t>
    </r>
  </si>
  <si>
    <t>Model Assumptions</t>
  </si>
  <si>
    <t>0,1,1,0,0,Exponential, 0,0,-1,0,-1,-1,.0001</t>
  </si>
  <si>
    <t>Dating Game</t>
  </si>
  <si>
    <t>Decision</t>
  </si>
  <si>
    <t>Online</t>
  </si>
  <si>
    <t>Chance</t>
  </si>
  <si>
    <t>Everlasting Pain</t>
  </si>
  <si>
    <t>Just friends</t>
  </si>
  <si>
    <t>1,0,0,2,8,9,2,0,0</t>
  </si>
  <si>
    <t>1,0,0,2,10,13,1,0,0</t>
  </si>
  <si>
    <t>1,0,0,2,11,12,3,0,0</t>
  </si>
  <si>
    <t>4,0,0,0,10,0,0</t>
  </si>
  <si>
    <t>1,0,0,2,14,15,3,0,0</t>
  </si>
  <si>
    <t>4,0,0,0,13,0,0</t>
  </si>
  <si>
    <t>6.0.1</t>
  </si>
  <si>
    <t>Love Triangle Scenarios for Dollar General</t>
  </si>
  <si>
    <t>0,2,1,0,0,Exponential, 0,0,-1,0,-1,-1,.0001</t>
  </si>
  <si>
    <t>Hostile Acq?</t>
  </si>
  <si>
    <t>Go Hostile</t>
  </si>
  <si>
    <t>Drop Deal</t>
  </si>
  <si>
    <t>Close</t>
  </si>
  <si>
    <t>DT wins</t>
  </si>
  <si>
    <t>Goals met</t>
  </si>
  <si>
    <t>Failed</t>
  </si>
  <si>
    <t>Strong rival</t>
  </si>
  <si>
    <t>1,0,0,2,10,11,1,0,0</t>
  </si>
  <si>
    <t>FD Standalone val</t>
  </si>
  <si>
    <t>DG Bid</t>
  </si>
  <si>
    <t>Margin</t>
  </si>
  <si>
    <t>Cost of Strong rival</t>
  </si>
  <si>
    <t>of their gains in the deal</t>
  </si>
  <si>
    <t>DG Synergies (H)</t>
  </si>
  <si>
    <t>DT Synergies (H)</t>
  </si>
  <si>
    <t>DG Synergies (L)</t>
  </si>
  <si>
    <t>DT Synergies (L)</t>
  </si>
  <si>
    <t>Weak rival</t>
  </si>
  <si>
    <t>DG Value Created?</t>
  </si>
  <si>
    <t>Rival (DT) Val Created?</t>
  </si>
  <si>
    <t>NPV</t>
  </si>
  <si>
    <t>Terminal Growth rate</t>
  </si>
  <si>
    <t>Synergies</t>
  </si>
  <si>
    <t>Annual Synergies</t>
  </si>
  <si>
    <t>Probabilities:</t>
  </si>
  <si>
    <t xml:space="preserve">   P(Deal Closes)</t>
  </si>
  <si>
    <t xml:space="preserve">   P(DG creates value)</t>
  </si>
  <si>
    <t xml:space="preserve">   P(DT creates value)</t>
  </si>
  <si>
    <t>NPV of</t>
  </si>
  <si>
    <t>Future Cash Flows From Synergies</t>
  </si>
  <si>
    <t>Two-Way Sensitivity Data of Decision Tree 'Hostile Acq?' (Expected Value of Entire Model)</t>
  </si>
  <si>
    <t>With Variation of P(DG Creates Value) (L19) and P(Deal Closes) (L18)</t>
  </si>
  <si>
    <t>P(DG Creates Value) (L19)</t>
  </si>
  <si>
    <t>P(Deal Closes) (L18)</t>
  </si>
  <si>
    <t>Will it close?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</si>
</sst>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8" formatCode="&quot;$&quot;#,##0.00_);[Red]\(&quot;$&quot;#,##0.00\)"/>
    <numFmt numFmtId="164" formatCode="0.0%"/>
    <numFmt numFmtId="166" formatCode="&quot;$&quot;#,##0.00"/>
    <numFmt numFmtId="167" formatCode="&quot;$&quot;#,##0.0"/>
    <numFmt numFmtId="168" formatCode="[&gt;0.00001]0.0###%;[=0]0.0%;0.00E+00"/>
    <numFmt numFmtId="169" formatCode="&quot;$&quot;#,##0.00;[Red]&quot;$&quot;#,##0.00"/>
  </numFmts>
  <fonts count="1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2"/>
      <name val="Calibri"/>
      <family val="2"/>
      <scheme val="minor"/>
    </font>
    <font>
      <sz val="11"/>
      <color theme="2"/>
      <name val="Calibri"/>
      <family val="2"/>
      <scheme val="minor"/>
    </font>
    <font>
      <b/>
      <sz val="14"/>
      <color theme="2"/>
      <name val="Calibri"/>
      <family val="2"/>
      <scheme val="minor"/>
    </font>
    <font>
      <b/>
      <sz val="14"/>
      <color rgb="FFFF0000"/>
      <name val="Symbol"/>
      <family val="1"/>
      <charset val="2"/>
    </font>
    <font>
      <b/>
      <sz val="8"/>
      <color rgb="FF000080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rgb="FF008000"/>
      <name val="Calibri"/>
      <family val="2"/>
      <scheme val="minor"/>
    </font>
    <font>
      <sz val="8"/>
      <color rgb="FF008000"/>
      <name val="Calibri"/>
      <family val="2"/>
      <scheme val="minor"/>
    </font>
    <font>
      <b/>
      <sz val="8"/>
      <color rgb="FF800000"/>
      <name val="Calibri"/>
      <family val="2"/>
      <scheme val="minor"/>
    </font>
    <font>
      <sz val="8"/>
      <color rgb="FF800000"/>
      <name val="Calibri"/>
      <family val="2"/>
      <scheme val="minor"/>
    </font>
    <font>
      <sz val="12"/>
      <color theme="1"/>
      <name val="Arial Narrow"/>
      <family val="2"/>
    </font>
    <font>
      <b/>
      <sz val="10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8"/>
      <color rgb="FF00B050"/>
      <name val="Calibri"/>
      <family val="2"/>
      <scheme val="minor"/>
    </font>
    <font>
      <b/>
      <sz val="11"/>
      <color rgb="FF008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-0.24994659260841701"/>
        <bgColor indexed="64"/>
      </patternFill>
    </fill>
    <fill>
      <patternFill patternType="solid">
        <fgColor theme="4" tint="0.59996337778862885"/>
        <bgColor indexed="64"/>
      </patternFill>
    </fill>
    <fill>
      <patternFill patternType="solid">
        <fgColor indexed="22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rgb="FF000000"/>
      </right>
      <top/>
      <bottom style="thin">
        <color indexed="64"/>
      </bottom>
      <diagonal/>
    </border>
    <border>
      <left style="medium">
        <color rgb="FF000000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thin">
        <color indexed="64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65">
    <xf numFmtId="0" fontId="0" fillId="0" borderId="0" xfId="0"/>
    <xf numFmtId="164" fontId="0" fillId="0" borderId="0" xfId="0" applyNumberFormat="1"/>
    <xf numFmtId="0" fontId="1" fillId="0" borderId="0" xfId="0" applyFont="1"/>
    <xf numFmtId="166" fontId="0" fillId="0" borderId="0" xfId="0" applyNumberFormat="1"/>
    <xf numFmtId="167" fontId="0" fillId="0" borderId="0" xfId="0" applyNumberFormat="1"/>
    <xf numFmtId="1" fontId="0" fillId="0" borderId="0" xfId="0" applyNumberFormat="1"/>
    <xf numFmtId="0" fontId="2" fillId="2" borderId="1" xfId="0" applyFont="1" applyFill="1" applyBorder="1"/>
    <xf numFmtId="0" fontId="3" fillId="2" borderId="1" xfId="0" applyFont="1" applyFill="1" applyBorder="1"/>
    <xf numFmtId="0" fontId="4" fillId="2" borderId="1" xfId="0" applyFont="1" applyFill="1" applyBorder="1" applyAlignment="1">
      <alignment horizontal="centerContinuous"/>
    </xf>
    <xf numFmtId="0" fontId="1" fillId="0" borderId="0" xfId="0" applyFont="1" applyAlignment="1">
      <alignment horizontal="right"/>
    </xf>
    <xf numFmtId="0" fontId="1" fillId="3" borderId="0" xfId="0" applyFont="1" applyFill="1" applyAlignment="1">
      <alignment horizontal="right"/>
    </xf>
    <xf numFmtId="167" fontId="0" fillId="3" borderId="0" xfId="0" applyNumberFormat="1" applyFill="1"/>
    <xf numFmtId="166" fontId="0" fillId="3" borderId="0" xfId="0" applyNumberFormat="1" applyFill="1"/>
    <xf numFmtId="164" fontId="1" fillId="0" borderId="0" xfId="0" applyNumberFormat="1" applyFont="1"/>
    <xf numFmtId="0" fontId="0" fillId="0" borderId="0" xfId="0" applyAlignment="1">
      <alignment horizontal="left"/>
    </xf>
    <xf numFmtId="0" fontId="0" fillId="0" borderId="0" xfId="0" quotePrefix="1" applyAlignment="1">
      <alignment horizontal="left"/>
    </xf>
    <xf numFmtId="0" fontId="0" fillId="0" borderId="0" xfId="0" applyNumberFormat="1" applyAlignment="1">
      <alignment horizontal="left"/>
    </xf>
    <xf numFmtId="0" fontId="4" fillId="0" borderId="0" xfId="0" applyFont="1" applyFill="1" applyBorder="1" applyAlignment="1">
      <alignment horizontal="centerContinuous"/>
    </xf>
    <xf numFmtId="0" fontId="6" fillId="0" borderId="0" xfId="0" applyFont="1" applyAlignment="1">
      <alignment horizontal="center"/>
    </xf>
    <xf numFmtId="168" fontId="6" fillId="0" borderId="0" xfId="0" applyNumberFormat="1" applyFont="1" applyAlignment="1">
      <alignment horizontal="center"/>
    </xf>
    <xf numFmtId="0" fontId="7" fillId="0" borderId="0" xfId="0" applyFont="1" applyAlignment="1">
      <alignment horizontal="right"/>
    </xf>
    <xf numFmtId="0" fontId="9" fillId="0" borderId="0" xfId="0" applyNumberFormat="1" applyFont="1" applyAlignment="1">
      <alignment horizontal="center"/>
    </xf>
    <xf numFmtId="0" fontId="8" fillId="0" borderId="0" xfId="0" applyFont="1" applyAlignment="1">
      <alignment horizontal="center"/>
    </xf>
    <xf numFmtId="0" fontId="8" fillId="0" borderId="0" xfId="0" applyFont="1" applyAlignment="1">
      <alignment horizontal="right"/>
    </xf>
    <xf numFmtId="0" fontId="11" fillId="0" borderId="0" xfId="0" applyNumberFormat="1" applyFont="1" applyAlignment="1">
      <alignment horizontal="center"/>
    </xf>
    <xf numFmtId="0" fontId="10" fillId="0" borderId="0" xfId="0" applyFont="1" applyAlignment="1">
      <alignment horizontal="center"/>
    </xf>
    <xf numFmtId="168" fontId="7" fillId="0" borderId="0" xfId="0" applyNumberFormat="1" applyFont="1" applyAlignment="1">
      <alignment horizontal="right"/>
    </xf>
    <xf numFmtId="0" fontId="12" fillId="0" borderId="0" xfId="0" applyFont="1"/>
    <xf numFmtId="0" fontId="0" fillId="0" borderId="0" xfId="0" applyAlignment="1">
      <alignment horizontal="right"/>
    </xf>
    <xf numFmtId="0" fontId="0" fillId="0" borderId="0" xfId="0" applyFont="1"/>
    <xf numFmtId="0" fontId="14" fillId="0" borderId="7" xfId="0" applyFont="1" applyBorder="1" applyAlignment="1">
      <alignment horizontal="left"/>
    </xf>
    <xf numFmtId="0" fontId="14" fillId="0" borderId="8" xfId="0" applyFont="1" applyBorder="1" applyAlignment="1">
      <alignment horizontal="left"/>
    </xf>
    <xf numFmtId="0" fontId="14" fillId="0" borderId="12" xfId="0" applyFont="1" applyBorder="1" applyAlignment="1">
      <alignment horizontal="left"/>
    </xf>
    <xf numFmtId="0" fontId="14" fillId="0" borderId="13" xfId="0" applyFont="1" applyBorder="1" applyAlignment="1">
      <alignment horizontal="left"/>
    </xf>
    <xf numFmtId="9" fontId="14" fillId="0" borderId="14" xfId="0" applyNumberFormat="1" applyFont="1" applyBorder="1" applyAlignment="1">
      <alignment horizontal="right"/>
    </xf>
    <xf numFmtId="9" fontId="14" fillId="0" borderId="15" xfId="0" applyNumberFormat="1" applyFont="1" applyBorder="1" applyAlignment="1">
      <alignment horizontal="right"/>
    </xf>
    <xf numFmtId="9" fontId="14" fillId="0" borderId="17" xfId="0" applyNumberFormat="1" applyFont="1" applyBorder="1" applyAlignment="1">
      <alignment horizontal="right" vertical="top"/>
    </xf>
    <xf numFmtId="9" fontId="14" fillId="0" borderId="19" xfId="0" applyNumberFormat="1" applyFont="1" applyBorder="1" applyAlignment="1">
      <alignment horizontal="right" vertical="top"/>
    </xf>
    <xf numFmtId="9" fontId="7" fillId="0" borderId="0" xfId="0" applyNumberFormat="1" applyFont="1" applyAlignment="1">
      <alignment horizontal="right"/>
    </xf>
    <xf numFmtId="166" fontId="7" fillId="0" borderId="0" xfId="0" applyNumberFormat="1" applyFont="1" applyAlignment="1">
      <alignment horizontal="right"/>
    </xf>
    <xf numFmtId="9" fontId="0" fillId="0" borderId="0" xfId="0" applyNumberFormat="1"/>
    <xf numFmtId="169" fontId="10" fillId="0" borderId="0" xfId="0" applyNumberFormat="1" applyFont="1" applyAlignment="1">
      <alignment horizontal="center"/>
    </xf>
    <xf numFmtId="169" fontId="15" fillId="0" borderId="0" xfId="0" applyNumberFormat="1" applyFont="1" applyAlignment="1">
      <alignment horizontal="center"/>
    </xf>
    <xf numFmtId="0" fontId="11" fillId="0" borderId="0" xfId="0" applyNumberFormat="1" applyFont="1" applyAlignment="1">
      <alignment horizontal="right"/>
    </xf>
    <xf numFmtId="8" fontId="0" fillId="0" borderId="0" xfId="0" applyNumberFormat="1"/>
    <xf numFmtId="0" fontId="13" fillId="4" borderId="2" xfId="0" quotePrefix="1" applyFont="1" applyFill="1" applyBorder="1" applyAlignment="1">
      <alignment horizontal="left"/>
    </xf>
    <xf numFmtId="0" fontId="13" fillId="0" borderId="3" xfId="0" applyFont="1" applyBorder="1" applyAlignment="1">
      <alignment horizontal="left"/>
    </xf>
    <xf numFmtId="0" fontId="13" fillId="0" borderId="4" xfId="0" applyFont="1" applyBorder="1" applyAlignment="1">
      <alignment horizontal="left"/>
    </xf>
    <xf numFmtId="0" fontId="7" fillId="4" borderId="5" xfId="0" quotePrefix="1" applyFont="1" applyFill="1" applyBorder="1" applyAlignment="1">
      <alignment horizontal="left"/>
    </xf>
    <xf numFmtId="0" fontId="7" fillId="0" borderId="0" xfId="0" applyFont="1" applyBorder="1" applyAlignment="1">
      <alignment horizontal="left"/>
    </xf>
    <xf numFmtId="0" fontId="7" fillId="0" borderId="6" xfId="0" applyFont="1" applyBorder="1" applyAlignment="1">
      <alignment horizontal="left"/>
    </xf>
    <xf numFmtId="166" fontId="6" fillId="0" borderId="0" xfId="0" applyNumberFormat="1" applyFont="1" applyAlignment="1">
      <alignment horizontal="center"/>
    </xf>
    <xf numFmtId="0" fontId="1" fillId="0" borderId="0" xfId="0" applyFont="1" applyAlignment="1">
      <alignment horizontal="centerContinuous"/>
    </xf>
    <xf numFmtId="0" fontId="0" fillId="0" borderId="0" xfId="0" applyAlignment="1">
      <alignment horizontal="centerContinuous"/>
    </xf>
    <xf numFmtId="8" fontId="7" fillId="0" borderId="0" xfId="0" applyNumberFormat="1" applyFont="1" applyBorder="1" applyAlignment="1">
      <alignment horizontal="right" vertical="top"/>
    </xf>
    <xf numFmtId="8" fontId="7" fillId="0" borderId="6" xfId="0" applyNumberFormat="1" applyFont="1" applyBorder="1" applyAlignment="1">
      <alignment horizontal="right" vertical="top"/>
    </xf>
    <xf numFmtId="8" fontId="7" fillId="0" borderId="20" xfId="0" applyNumberFormat="1" applyFont="1" applyBorder="1" applyAlignment="1">
      <alignment horizontal="right" vertical="top"/>
    </xf>
    <xf numFmtId="8" fontId="7" fillId="0" borderId="21" xfId="0" applyNumberFormat="1" applyFont="1" applyBorder="1" applyAlignment="1">
      <alignment horizontal="right" vertical="top"/>
    </xf>
    <xf numFmtId="0" fontId="1" fillId="0" borderId="16" xfId="0" quotePrefix="1" applyFont="1" applyBorder="1" applyAlignment="1">
      <alignment horizontal="right" vertical="center" textRotation="90" wrapText="1"/>
    </xf>
    <xf numFmtId="0" fontId="0" fillId="0" borderId="5" xfId="0" applyFont="1" applyBorder="1" applyAlignment="1">
      <alignment horizontal="right" vertical="center" textRotation="90" wrapText="1"/>
    </xf>
    <xf numFmtId="0" fontId="0" fillId="0" borderId="18" xfId="0" applyFont="1" applyBorder="1" applyAlignment="1">
      <alignment horizontal="right" vertical="center" textRotation="90" wrapText="1"/>
    </xf>
    <xf numFmtId="0" fontId="1" fillId="0" borderId="9" xfId="0" quotePrefix="1" applyFont="1" applyBorder="1" applyAlignment="1">
      <alignment horizontal="center" wrapText="1"/>
    </xf>
    <xf numFmtId="0" fontId="0" fillId="0" borderId="10" xfId="0" applyFont="1" applyBorder="1" applyAlignment="1">
      <alignment horizontal="center" wrapText="1"/>
    </xf>
    <xf numFmtId="0" fontId="0" fillId="0" borderId="11" xfId="0" applyFont="1" applyBorder="1" applyAlignment="1">
      <alignment horizontal="center" wrapText="1"/>
    </xf>
    <xf numFmtId="0" fontId="16" fillId="0" borderId="0" xfId="0" applyNumberFormat="1" applyFont="1" applyAlignment="1">
      <alignment horizontal="right"/>
    </xf>
  </cellXfs>
  <cellStyles count="1">
    <cellStyle name="Normal" xfId="0" builtinId="0"/>
  </cellStyles>
  <dxfs count="2">
    <dxf>
      <font>
        <color rgb="FF00B050"/>
      </font>
    </dxf>
    <dxf>
      <font>
        <color rgb="FF9C0006"/>
      </font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3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2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11" Type="http://schemas.openxmlformats.org/officeDocument/2006/relationships/externalLink" Target="externalLinks/externalLink6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externalLink" Target="externalLinks/externalLink5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4.xml"/><Relationship Id="rId1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.xml"/></Relationships>
</file>

<file path=xl/charts/_rels/chart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.xml"/></Relationships>
</file>

<file path=xl/charts/_rels/chart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.xml"/></Relationships>
</file>

<file path=xl/charts/_rels/chart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7.xml"/></Relationships>
</file>

<file path=xl/charts/_rels/chart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8.xml"/></Relationships>
</file>

<file path=xl/charts/_rels/chart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9.xml"/></Relationships>
</file>

<file path=xl/charts/_rels/chart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0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800" b="1"/>
            </a:pPr>
            <a:r>
              <a:rPr lang="en-US" sz="1800"/>
              <a:t>Strategy Region for Node 'Hostile?' </a:t>
            </a:r>
          </a:p>
        </c:rich>
      </c:tx>
      <c:layout/>
      <c:overlay val="0"/>
    </c:title>
    <c:autoTitleDeleted val="0"/>
    <c:plotArea>
      <c:layout>
        <c:manualLayout>
          <c:layoutTarget val="inner"/>
          <c:xMode val="edge"/>
          <c:yMode val="edge"/>
          <c:x val="0.10682666127014497"/>
          <c:y val="9.5863358910958846E-2"/>
          <c:w val="0.86390076532489513"/>
          <c:h val="0.78668953750421988"/>
        </c:manualLayout>
      </c:layout>
      <c:scatterChart>
        <c:scatterStyle val="lineMarker"/>
        <c:varyColors val="0"/>
        <c:ser>
          <c:idx val="0"/>
          <c:order val="0"/>
          <c:tx>
            <c:v>Go Hostile</c:v>
          </c:tx>
          <c:spPr>
            <a:ln w="28575">
              <a:noFill/>
            </a:ln>
          </c:spPr>
          <c:marker>
            <c:symbol val="diamond"/>
            <c:size val="10"/>
            <c:spPr>
              <a:solidFill>
                <a:srgbClr val="333399"/>
              </a:solidFill>
              <a:ln>
                <a:solidFill>
                  <a:srgbClr val="333399"/>
                </a:solidFill>
                <a:prstDash val="solid"/>
              </a:ln>
            </c:spPr>
          </c:marker>
          <c:xVal>
            <c:numRef>
              <c:f>'[5]Strategy Region L19, L18'!$B$42:$B$125</c:f>
              <c:numCache>
                <c:formatCode>General</c:formatCode>
                <c:ptCount val="84"/>
                <c:pt idx="0">
                  <c:v>0.3</c:v>
                </c:pt>
                <c:pt idx="1">
                  <c:v>0.3</c:v>
                </c:pt>
                <c:pt idx="2">
                  <c:v>0.3</c:v>
                </c:pt>
                <c:pt idx="3">
                  <c:v>0.3</c:v>
                </c:pt>
                <c:pt idx="4">
                  <c:v>0.3</c:v>
                </c:pt>
                <c:pt idx="5">
                  <c:v>0.32</c:v>
                </c:pt>
                <c:pt idx="6">
                  <c:v>0.32</c:v>
                </c:pt>
                <c:pt idx="7">
                  <c:v>0.32</c:v>
                </c:pt>
                <c:pt idx="8">
                  <c:v>0.32</c:v>
                </c:pt>
                <c:pt idx="9">
                  <c:v>0.32</c:v>
                </c:pt>
                <c:pt idx="10">
                  <c:v>0.33999999999999997</c:v>
                </c:pt>
                <c:pt idx="11">
                  <c:v>0.33999999999999997</c:v>
                </c:pt>
                <c:pt idx="12">
                  <c:v>0.33999999999999997</c:v>
                </c:pt>
                <c:pt idx="13">
                  <c:v>0.33999999999999997</c:v>
                </c:pt>
                <c:pt idx="14">
                  <c:v>0.33999999999999997</c:v>
                </c:pt>
                <c:pt idx="15">
                  <c:v>0.33999999999999997</c:v>
                </c:pt>
                <c:pt idx="16">
                  <c:v>0.36</c:v>
                </c:pt>
                <c:pt idx="17">
                  <c:v>0.36</c:v>
                </c:pt>
                <c:pt idx="18">
                  <c:v>0.36</c:v>
                </c:pt>
                <c:pt idx="19">
                  <c:v>0.36</c:v>
                </c:pt>
                <c:pt idx="20">
                  <c:v>0.36</c:v>
                </c:pt>
                <c:pt idx="21">
                  <c:v>0.36</c:v>
                </c:pt>
                <c:pt idx="22">
                  <c:v>0.36</c:v>
                </c:pt>
                <c:pt idx="23">
                  <c:v>0.38</c:v>
                </c:pt>
                <c:pt idx="24">
                  <c:v>0.38</c:v>
                </c:pt>
                <c:pt idx="25">
                  <c:v>0.38</c:v>
                </c:pt>
                <c:pt idx="26">
                  <c:v>0.38</c:v>
                </c:pt>
                <c:pt idx="27">
                  <c:v>0.38</c:v>
                </c:pt>
                <c:pt idx="28">
                  <c:v>0.38</c:v>
                </c:pt>
                <c:pt idx="29">
                  <c:v>0.38</c:v>
                </c:pt>
                <c:pt idx="30">
                  <c:v>0.4</c:v>
                </c:pt>
                <c:pt idx="31">
                  <c:v>0.4</c:v>
                </c:pt>
                <c:pt idx="32">
                  <c:v>0.4</c:v>
                </c:pt>
                <c:pt idx="33">
                  <c:v>0.4</c:v>
                </c:pt>
                <c:pt idx="34">
                  <c:v>0.4</c:v>
                </c:pt>
                <c:pt idx="35">
                  <c:v>0.4</c:v>
                </c:pt>
                <c:pt idx="36">
                  <c:v>0.4</c:v>
                </c:pt>
                <c:pt idx="37">
                  <c:v>0.4</c:v>
                </c:pt>
                <c:pt idx="38">
                  <c:v>0.42</c:v>
                </c:pt>
                <c:pt idx="39">
                  <c:v>0.42</c:v>
                </c:pt>
                <c:pt idx="40">
                  <c:v>0.42</c:v>
                </c:pt>
                <c:pt idx="41">
                  <c:v>0.42</c:v>
                </c:pt>
                <c:pt idx="42">
                  <c:v>0.42</c:v>
                </c:pt>
                <c:pt idx="43">
                  <c:v>0.42</c:v>
                </c:pt>
                <c:pt idx="44">
                  <c:v>0.42</c:v>
                </c:pt>
                <c:pt idx="45">
                  <c:v>0.42</c:v>
                </c:pt>
                <c:pt idx="46">
                  <c:v>0.44</c:v>
                </c:pt>
                <c:pt idx="47">
                  <c:v>0.44</c:v>
                </c:pt>
                <c:pt idx="48">
                  <c:v>0.44</c:v>
                </c:pt>
                <c:pt idx="49">
                  <c:v>0.44</c:v>
                </c:pt>
                <c:pt idx="50">
                  <c:v>0.44</c:v>
                </c:pt>
                <c:pt idx="51">
                  <c:v>0.44</c:v>
                </c:pt>
                <c:pt idx="52">
                  <c:v>0.44</c:v>
                </c:pt>
                <c:pt idx="53">
                  <c:v>0.44</c:v>
                </c:pt>
                <c:pt idx="54">
                  <c:v>0.44</c:v>
                </c:pt>
                <c:pt idx="55">
                  <c:v>0.46</c:v>
                </c:pt>
                <c:pt idx="56">
                  <c:v>0.46</c:v>
                </c:pt>
                <c:pt idx="57">
                  <c:v>0.46</c:v>
                </c:pt>
                <c:pt idx="58">
                  <c:v>0.46</c:v>
                </c:pt>
                <c:pt idx="59">
                  <c:v>0.46</c:v>
                </c:pt>
                <c:pt idx="60">
                  <c:v>0.46</c:v>
                </c:pt>
                <c:pt idx="61">
                  <c:v>0.46</c:v>
                </c:pt>
                <c:pt idx="62">
                  <c:v>0.46</c:v>
                </c:pt>
                <c:pt idx="63">
                  <c:v>0.46</c:v>
                </c:pt>
                <c:pt idx="64">
                  <c:v>0.48</c:v>
                </c:pt>
                <c:pt idx="65">
                  <c:v>0.48</c:v>
                </c:pt>
                <c:pt idx="66">
                  <c:v>0.48</c:v>
                </c:pt>
                <c:pt idx="67">
                  <c:v>0.48</c:v>
                </c:pt>
                <c:pt idx="68">
                  <c:v>0.48</c:v>
                </c:pt>
                <c:pt idx="69">
                  <c:v>0.48</c:v>
                </c:pt>
                <c:pt idx="70">
                  <c:v>0.48</c:v>
                </c:pt>
                <c:pt idx="71">
                  <c:v>0.48</c:v>
                </c:pt>
                <c:pt idx="72">
                  <c:v>0.48</c:v>
                </c:pt>
                <c:pt idx="73">
                  <c:v>0.48</c:v>
                </c:pt>
                <c:pt idx="74">
                  <c:v>0.5</c:v>
                </c:pt>
                <c:pt idx="75">
                  <c:v>0.5</c:v>
                </c:pt>
                <c:pt idx="76">
                  <c:v>0.5</c:v>
                </c:pt>
                <c:pt idx="77">
                  <c:v>0.5</c:v>
                </c:pt>
                <c:pt idx="78">
                  <c:v>0.5</c:v>
                </c:pt>
                <c:pt idx="79">
                  <c:v>0.5</c:v>
                </c:pt>
                <c:pt idx="80">
                  <c:v>0.5</c:v>
                </c:pt>
                <c:pt idx="81">
                  <c:v>0.5</c:v>
                </c:pt>
                <c:pt idx="82">
                  <c:v>0.5</c:v>
                </c:pt>
                <c:pt idx="83">
                  <c:v>0.5</c:v>
                </c:pt>
              </c:numCache>
            </c:numRef>
          </c:xVal>
          <c:yVal>
            <c:numRef>
              <c:f>'[5]Strategy Region L19, L18'!$C$42:$C$125</c:f>
              <c:numCache>
                <c:formatCode>General</c:formatCode>
                <c:ptCount val="84"/>
                <c:pt idx="0">
                  <c:v>0.63</c:v>
                </c:pt>
                <c:pt idx="1">
                  <c:v>0.66</c:v>
                </c:pt>
                <c:pt idx="2">
                  <c:v>0.69</c:v>
                </c:pt>
                <c:pt idx="3">
                  <c:v>0.72</c:v>
                </c:pt>
                <c:pt idx="4">
                  <c:v>0.75</c:v>
                </c:pt>
                <c:pt idx="5">
                  <c:v>0.63</c:v>
                </c:pt>
                <c:pt idx="6">
                  <c:v>0.66</c:v>
                </c:pt>
                <c:pt idx="7">
                  <c:v>0.69</c:v>
                </c:pt>
                <c:pt idx="8">
                  <c:v>0.72</c:v>
                </c:pt>
                <c:pt idx="9">
                  <c:v>0.75</c:v>
                </c:pt>
                <c:pt idx="10">
                  <c:v>0.6</c:v>
                </c:pt>
                <c:pt idx="11">
                  <c:v>0.63</c:v>
                </c:pt>
                <c:pt idx="12">
                  <c:v>0.66</c:v>
                </c:pt>
                <c:pt idx="13">
                  <c:v>0.69</c:v>
                </c:pt>
                <c:pt idx="14">
                  <c:v>0.72</c:v>
                </c:pt>
                <c:pt idx="15">
                  <c:v>0.75</c:v>
                </c:pt>
                <c:pt idx="16">
                  <c:v>0.56999999999999995</c:v>
                </c:pt>
                <c:pt idx="17">
                  <c:v>0.6</c:v>
                </c:pt>
                <c:pt idx="18">
                  <c:v>0.63</c:v>
                </c:pt>
                <c:pt idx="19">
                  <c:v>0.66</c:v>
                </c:pt>
                <c:pt idx="20">
                  <c:v>0.69</c:v>
                </c:pt>
                <c:pt idx="21">
                  <c:v>0.72</c:v>
                </c:pt>
                <c:pt idx="22">
                  <c:v>0.75</c:v>
                </c:pt>
                <c:pt idx="23">
                  <c:v>0.56999999999999995</c:v>
                </c:pt>
                <c:pt idx="24">
                  <c:v>0.6</c:v>
                </c:pt>
                <c:pt idx="25">
                  <c:v>0.63</c:v>
                </c:pt>
                <c:pt idx="26">
                  <c:v>0.66</c:v>
                </c:pt>
                <c:pt idx="27">
                  <c:v>0.69</c:v>
                </c:pt>
                <c:pt idx="28">
                  <c:v>0.72</c:v>
                </c:pt>
                <c:pt idx="29">
                  <c:v>0.75</c:v>
                </c:pt>
                <c:pt idx="30">
                  <c:v>0.53999999999999992</c:v>
                </c:pt>
                <c:pt idx="31">
                  <c:v>0.56999999999999995</c:v>
                </c:pt>
                <c:pt idx="32">
                  <c:v>0.6</c:v>
                </c:pt>
                <c:pt idx="33">
                  <c:v>0.63</c:v>
                </c:pt>
                <c:pt idx="34">
                  <c:v>0.66</c:v>
                </c:pt>
                <c:pt idx="35">
                  <c:v>0.69</c:v>
                </c:pt>
                <c:pt idx="36">
                  <c:v>0.72</c:v>
                </c:pt>
                <c:pt idx="37">
                  <c:v>0.75</c:v>
                </c:pt>
                <c:pt idx="38">
                  <c:v>0.53999999999999992</c:v>
                </c:pt>
                <c:pt idx="39">
                  <c:v>0.56999999999999995</c:v>
                </c:pt>
                <c:pt idx="40">
                  <c:v>0.6</c:v>
                </c:pt>
                <c:pt idx="41">
                  <c:v>0.63</c:v>
                </c:pt>
                <c:pt idx="42">
                  <c:v>0.66</c:v>
                </c:pt>
                <c:pt idx="43">
                  <c:v>0.69</c:v>
                </c:pt>
                <c:pt idx="44">
                  <c:v>0.72</c:v>
                </c:pt>
                <c:pt idx="45">
                  <c:v>0.75</c:v>
                </c:pt>
                <c:pt idx="46">
                  <c:v>0.51</c:v>
                </c:pt>
                <c:pt idx="47">
                  <c:v>0.53999999999999992</c:v>
                </c:pt>
                <c:pt idx="48">
                  <c:v>0.56999999999999995</c:v>
                </c:pt>
                <c:pt idx="49">
                  <c:v>0.6</c:v>
                </c:pt>
                <c:pt idx="50">
                  <c:v>0.63</c:v>
                </c:pt>
                <c:pt idx="51">
                  <c:v>0.66</c:v>
                </c:pt>
                <c:pt idx="52">
                  <c:v>0.69</c:v>
                </c:pt>
                <c:pt idx="53">
                  <c:v>0.72</c:v>
                </c:pt>
                <c:pt idx="54">
                  <c:v>0.75</c:v>
                </c:pt>
                <c:pt idx="55">
                  <c:v>0.51</c:v>
                </c:pt>
                <c:pt idx="56">
                  <c:v>0.53999999999999992</c:v>
                </c:pt>
                <c:pt idx="57">
                  <c:v>0.56999999999999995</c:v>
                </c:pt>
                <c:pt idx="58">
                  <c:v>0.6</c:v>
                </c:pt>
                <c:pt idx="59">
                  <c:v>0.63</c:v>
                </c:pt>
                <c:pt idx="60">
                  <c:v>0.66</c:v>
                </c:pt>
                <c:pt idx="61">
                  <c:v>0.69</c:v>
                </c:pt>
                <c:pt idx="62">
                  <c:v>0.72</c:v>
                </c:pt>
                <c:pt idx="63">
                  <c:v>0.75</c:v>
                </c:pt>
                <c:pt idx="64">
                  <c:v>0.48</c:v>
                </c:pt>
                <c:pt idx="65">
                  <c:v>0.51</c:v>
                </c:pt>
                <c:pt idx="66">
                  <c:v>0.53999999999999992</c:v>
                </c:pt>
                <c:pt idx="67">
                  <c:v>0.56999999999999995</c:v>
                </c:pt>
                <c:pt idx="68">
                  <c:v>0.6</c:v>
                </c:pt>
                <c:pt idx="69">
                  <c:v>0.63</c:v>
                </c:pt>
                <c:pt idx="70">
                  <c:v>0.66</c:v>
                </c:pt>
                <c:pt idx="71">
                  <c:v>0.69</c:v>
                </c:pt>
                <c:pt idx="72">
                  <c:v>0.72</c:v>
                </c:pt>
                <c:pt idx="73">
                  <c:v>0.75</c:v>
                </c:pt>
                <c:pt idx="74">
                  <c:v>0.48</c:v>
                </c:pt>
                <c:pt idx="75">
                  <c:v>0.51</c:v>
                </c:pt>
                <c:pt idx="76">
                  <c:v>0.53999999999999992</c:v>
                </c:pt>
                <c:pt idx="77">
                  <c:v>0.56999999999999995</c:v>
                </c:pt>
                <c:pt idx="78">
                  <c:v>0.6</c:v>
                </c:pt>
                <c:pt idx="79">
                  <c:v>0.63</c:v>
                </c:pt>
                <c:pt idx="80">
                  <c:v>0.66</c:v>
                </c:pt>
                <c:pt idx="81">
                  <c:v>0.69</c:v>
                </c:pt>
                <c:pt idx="82">
                  <c:v>0.72</c:v>
                </c:pt>
                <c:pt idx="83">
                  <c:v>0.75</c:v>
                </c:pt>
              </c:numCache>
            </c:numRef>
          </c:yVal>
          <c:smooth val="0"/>
        </c:ser>
        <c:ser>
          <c:idx val="1"/>
          <c:order val="1"/>
          <c:tx>
            <c:v>Drop Deal</c:v>
          </c:tx>
          <c:spPr>
            <a:ln w="28575">
              <a:noFill/>
            </a:ln>
          </c:spPr>
          <c:marker>
            <c:symbol val="triangle"/>
            <c:size val="10"/>
            <c:spPr>
              <a:solidFill>
                <a:srgbClr val="993366"/>
              </a:solidFill>
              <a:ln>
                <a:solidFill>
                  <a:srgbClr val="993366"/>
                </a:solidFill>
                <a:prstDash val="solid"/>
              </a:ln>
            </c:spPr>
          </c:marker>
          <c:xVal>
            <c:numRef>
              <c:f>'[5]Strategy Region L19, L18'!$D$42:$D$125</c:f>
              <c:numCache>
                <c:formatCode>General</c:formatCode>
                <c:ptCount val="84"/>
                <c:pt idx="0">
                  <c:v>0.3</c:v>
                </c:pt>
                <c:pt idx="1">
                  <c:v>0.3</c:v>
                </c:pt>
                <c:pt idx="2">
                  <c:v>0.3</c:v>
                </c:pt>
                <c:pt idx="3">
                  <c:v>0.3</c:v>
                </c:pt>
                <c:pt idx="4">
                  <c:v>0.3</c:v>
                </c:pt>
                <c:pt idx="5">
                  <c:v>0.3</c:v>
                </c:pt>
                <c:pt idx="6">
                  <c:v>0.32</c:v>
                </c:pt>
                <c:pt idx="7">
                  <c:v>0.32</c:v>
                </c:pt>
                <c:pt idx="8">
                  <c:v>0.32</c:v>
                </c:pt>
                <c:pt idx="9">
                  <c:v>0.32</c:v>
                </c:pt>
                <c:pt idx="10">
                  <c:v>0.32</c:v>
                </c:pt>
                <c:pt idx="11">
                  <c:v>0.32</c:v>
                </c:pt>
                <c:pt idx="12">
                  <c:v>0.33999999999999997</c:v>
                </c:pt>
                <c:pt idx="13">
                  <c:v>0.33999999999999997</c:v>
                </c:pt>
                <c:pt idx="14">
                  <c:v>0.33999999999999997</c:v>
                </c:pt>
                <c:pt idx="15">
                  <c:v>0.33999999999999997</c:v>
                </c:pt>
                <c:pt idx="16">
                  <c:v>0.33999999999999997</c:v>
                </c:pt>
                <c:pt idx="17">
                  <c:v>0.36</c:v>
                </c:pt>
                <c:pt idx="18">
                  <c:v>0.36</c:v>
                </c:pt>
                <c:pt idx="19">
                  <c:v>0.36</c:v>
                </c:pt>
                <c:pt idx="20">
                  <c:v>0.36</c:v>
                </c:pt>
                <c:pt idx="21">
                  <c:v>0.38</c:v>
                </c:pt>
                <c:pt idx="22">
                  <c:v>0.38</c:v>
                </c:pt>
                <c:pt idx="23">
                  <c:v>0.38</c:v>
                </c:pt>
                <c:pt idx="24">
                  <c:v>0.38</c:v>
                </c:pt>
                <c:pt idx="25">
                  <c:v>0.4</c:v>
                </c:pt>
                <c:pt idx="26">
                  <c:v>0.4</c:v>
                </c:pt>
                <c:pt idx="27">
                  <c:v>0.4</c:v>
                </c:pt>
                <c:pt idx="28">
                  <c:v>0.42</c:v>
                </c:pt>
                <c:pt idx="29">
                  <c:v>0.42</c:v>
                </c:pt>
                <c:pt idx="30">
                  <c:v>0.42</c:v>
                </c:pt>
                <c:pt idx="31">
                  <c:v>0.44</c:v>
                </c:pt>
                <c:pt idx="32">
                  <c:v>0.44</c:v>
                </c:pt>
                <c:pt idx="33">
                  <c:v>0.46</c:v>
                </c:pt>
                <c:pt idx="34">
                  <c:v>0.46</c:v>
                </c:pt>
                <c:pt idx="35">
                  <c:v>0.48</c:v>
                </c:pt>
                <c:pt idx="36">
                  <c:v>0.5</c:v>
                </c:pt>
              </c:numCache>
            </c:numRef>
          </c:xVal>
          <c:yVal>
            <c:numRef>
              <c:f>'[5]Strategy Region L19, L18'!$E$42:$E$125</c:f>
              <c:numCache>
                <c:formatCode>General</c:formatCode>
                <c:ptCount val="84"/>
                <c:pt idx="0">
                  <c:v>0.44999999999999996</c:v>
                </c:pt>
                <c:pt idx="1">
                  <c:v>0.48</c:v>
                </c:pt>
                <c:pt idx="2">
                  <c:v>0.51</c:v>
                </c:pt>
                <c:pt idx="3">
                  <c:v>0.53999999999999992</c:v>
                </c:pt>
                <c:pt idx="4">
                  <c:v>0.56999999999999995</c:v>
                </c:pt>
                <c:pt idx="5">
                  <c:v>0.6</c:v>
                </c:pt>
                <c:pt idx="6">
                  <c:v>0.44999999999999996</c:v>
                </c:pt>
                <c:pt idx="7">
                  <c:v>0.48</c:v>
                </c:pt>
                <c:pt idx="8">
                  <c:v>0.51</c:v>
                </c:pt>
                <c:pt idx="9">
                  <c:v>0.53999999999999992</c:v>
                </c:pt>
                <c:pt idx="10">
                  <c:v>0.56999999999999995</c:v>
                </c:pt>
                <c:pt idx="11">
                  <c:v>0.6</c:v>
                </c:pt>
                <c:pt idx="12">
                  <c:v>0.44999999999999996</c:v>
                </c:pt>
                <c:pt idx="13">
                  <c:v>0.48</c:v>
                </c:pt>
                <c:pt idx="14">
                  <c:v>0.51</c:v>
                </c:pt>
                <c:pt idx="15">
                  <c:v>0.53999999999999992</c:v>
                </c:pt>
                <c:pt idx="16">
                  <c:v>0.56999999999999995</c:v>
                </c:pt>
                <c:pt idx="17">
                  <c:v>0.44999999999999996</c:v>
                </c:pt>
                <c:pt idx="18">
                  <c:v>0.48</c:v>
                </c:pt>
                <c:pt idx="19">
                  <c:v>0.51</c:v>
                </c:pt>
                <c:pt idx="20">
                  <c:v>0.53999999999999992</c:v>
                </c:pt>
                <c:pt idx="21">
                  <c:v>0.44999999999999996</c:v>
                </c:pt>
                <c:pt idx="22">
                  <c:v>0.48</c:v>
                </c:pt>
                <c:pt idx="23">
                  <c:v>0.51</c:v>
                </c:pt>
                <c:pt idx="24">
                  <c:v>0.53999999999999992</c:v>
                </c:pt>
                <c:pt idx="25">
                  <c:v>0.44999999999999996</c:v>
                </c:pt>
                <c:pt idx="26">
                  <c:v>0.48</c:v>
                </c:pt>
                <c:pt idx="27">
                  <c:v>0.51</c:v>
                </c:pt>
                <c:pt idx="28">
                  <c:v>0.44999999999999996</c:v>
                </c:pt>
                <c:pt idx="29">
                  <c:v>0.48</c:v>
                </c:pt>
                <c:pt idx="30">
                  <c:v>0.51</c:v>
                </c:pt>
                <c:pt idx="31">
                  <c:v>0.44999999999999996</c:v>
                </c:pt>
                <c:pt idx="32">
                  <c:v>0.48</c:v>
                </c:pt>
                <c:pt idx="33">
                  <c:v>0.44999999999999996</c:v>
                </c:pt>
                <c:pt idx="34">
                  <c:v>0.48</c:v>
                </c:pt>
                <c:pt idx="35">
                  <c:v>0.44999999999999996</c:v>
                </c:pt>
                <c:pt idx="36">
                  <c:v>0.44999999999999996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95126400"/>
        <c:axId val="195137920"/>
      </c:scatterChart>
      <c:valAx>
        <c:axId val="195126400"/>
        <c:scaling>
          <c:orientation val="minMax"/>
          <c:max val="0.50000000000000011"/>
          <c:min val="0.28000000000000003"/>
        </c:scaling>
        <c:delete val="0"/>
        <c:axPos val="b"/>
        <c:title>
          <c:tx>
            <c:rich>
              <a:bodyPr/>
              <a:lstStyle/>
              <a:p>
                <a:pPr>
                  <a:defRPr sz="1100" b="1"/>
                </a:pPr>
                <a:r>
                  <a:rPr lang="en-US" sz="1100" b="1"/>
                  <a:t>P(DG Creates Value) (L19)</a:t>
                </a:r>
              </a:p>
            </c:rich>
          </c:tx>
          <c:layout>
            <c:manualLayout>
              <c:xMode val="edge"/>
              <c:yMode val="edge"/>
              <c:x val="0.33145006990948561"/>
              <c:y val="0.9449245901041049"/>
            </c:manualLayout>
          </c:layout>
          <c:overlay val="0"/>
        </c:title>
        <c:numFmt formatCode="0%" sourceLinked="0"/>
        <c:majorTickMark val="out"/>
        <c:minorTickMark val="none"/>
        <c:tickLblPos val="nextTo"/>
        <c:txPr>
          <a:bodyPr rot="-5400000" vert="horz"/>
          <a:lstStyle/>
          <a:p>
            <a:pPr>
              <a:defRPr sz="1100" b="0"/>
            </a:pPr>
            <a:endParaRPr lang="en-US"/>
          </a:p>
        </c:txPr>
        <c:crossAx val="195137920"/>
        <c:crossesAt val="-1.0000000000000001E+300"/>
        <c:crossBetween val="midCat"/>
        <c:majorUnit val="2.0000000000000007E-2"/>
      </c:valAx>
      <c:valAx>
        <c:axId val="195137920"/>
        <c:scaling>
          <c:orientation val="minMax"/>
          <c:max val="0.75000000000000011"/>
          <c:min val="0.4"/>
        </c:scaling>
        <c:delete val="0"/>
        <c:axPos val="l"/>
        <c:title>
          <c:tx>
            <c:rich>
              <a:bodyPr/>
              <a:lstStyle/>
              <a:p>
                <a:pPr>
                  <a:defRPr sz="1100" b="1"/>
                </a:pPr>
                <a:r>
                  <a:rPr lang="en-US" sz="1100" b="1"/>
                  <a:t>P(Deal Closes) (L18)</a:t>
                </a:r>
              </a:p>
            </c:rich>
          </c:tx>
          <c:layout/>
          <c:overlay val="0"/>
        </c:title>
        <c:numFmt formatCode="0%" sourceLinked="0"/>
        <c:majorTickMark val="out"/>
        <c:minorTickMark val="none"/>
        <c:tickLblPos val="nextTo"/>
        <c:txPr>
          <a:bodyPr/>
          <a:lstStyle/>
          <a:p>
            <a:pPr>
              <a:defRPr sz="1100" b="0"/>
            </a:pPr>
            <a:endParaRPr lang="en-US"/>
          </a:p>
        </c:txPr>
        <c:crossAx val="195126400"/>
        <c:crossesAt val="-1.0000000000000001E+300"/>
        <c:crossBetween val="midCat"/>
        <c:majorUnit val="5.000000000000001E-2"/>
      </c:valAx>
    </c:plotArea>
    <c:legend>
      <c:legendPos val="r"/>
      <c:layout>
        <c:manualLayout>
          <c:xMode val="edge"/>
          <c:yMode val="edge"/>
          <c:x val="0.80887795275590546"/>
          <c:y val="8.3595405151412866E-2"/>
          <c:w val="0.16308466406652439"/>
          <c:h val="7.1858833404804687E-2"/>
        </c:manualLayout>
      </c:layout>
      <c:overlay val="0"/>
      <c:spPr>
        <a:solidFill>
          <a:schemeClr val="bg2"/>
        </a:solidFill>
        <a:ln w="25400">
          <a:noFill/>
        </a:ln>
        <a:effectLst>
          <a:outerShdw blurRad="127000" dist="63500" dir="2700000" algn="tl" rotWithShape="0">
            <a:prstClr val="black">
              <a:alpha val="40000"/>
            </a:prstClr>
          </a:outerShdw>
        </a:effectLst>
      </c:spPr>
      <c:txPr>
        <a:bodyPr/>
        <a:lstStyle/>
        <a:p>
          <a:pPr>
            <a:defRPr sz="1200"/>
          </a:pPr>
          <a:endParaRPr lang="en-US"/>
        </a:p>
      </c:txPr>
    </c:legend>
    <c:plotVisOnly val="1"/>
    <c:dispBlanksAs val="gap"/>
    <c:showDLblsOverMax val="0"/>
  </c:chart>
  <c:spPr>
    <a:ln w="25400"/>
  </c:spPr>
  <c:printSettings>
    <c:headerFooter/>
    <c:pageMargins b="0.75" l="0.7" r="0.7" t="0.75" header="0.3" footer="0.3"/>
    <c:pageSetup/>
  </c:printSettings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800" b="1"/>
            </a:pPr>
            <a:r>
              <a:rPr lang="en-US" sz="1800"/>
              <a:t>Sensitivity of Decision Tree 'Hostile Acq?'</a:t>
            </a:r>
            <a:r>
              <a:rPr lang="en-US" sz="1050" b="0" i="0" u="none" strike="noStrike" baseline="0">
                <a:solidFill>
                  <a:srgbClr val="000000"/>
                </a:solidFill>
                <a:latin typeface="+mn-lt"/>
                <a:ea typeface="+mn-lt"/>
                <a:cs typeface="+mn-lt"/>
              </a:rPr>
              <a:t>
Expected Value of Node 'Hostile?' (C18) </a:t>
            </a:r>
            <a:endParaRPr lang="en-US" sz="1800"/>
          </a:p>
        </c:rich>
      </c:tx>
      <c:layout/>
      <c:overlay val="0"/>
    </c:title>
    <c:autoTitleDeleted val="0"/>
    <c:view3D>
      <c:rotX val="22"/>
      <c:rotY val="20"/>
      <c:rAngAx val="0"/>
      <c:perspective val="30"/>
    </c:view3D>
    <c:floor>
      <c:thickness val="0"/>
      <c:spPr>
        <a:noFill/>
      </c:spPr>
    </c:floor>
    <c:sideWall>
      <c:thickness val="0"/>
      <c:spPr>
        <a:noFill/>
      </c:spPr>
    </c:sideWall>
    <c:backWall>
      <c:thickness val="0"/>
      <c:spPr>
        <a:noFill/>
      </c:spPr>
    </c:backWall>
    <c:plotArea>
      <c:layout>
        <c:manualLayout>
          <c:layoutTarget val="inner"/>
          <c:xMode val="edge"/>
          <c:yMode val="edge"/>
          <c:x val="6.353024505114431E-2"/>
          <c:y val="0.10293172507550113"/>
          <c:w val="0.85406873206269773"/>
          <c:h val="0.83193091303911459"/>
        </c:manualLayout>
      </c:layout>
      <c:surface3DChart>
        <c:wireframe val="0"/>
        <c:ser>
          <c:idx val="0"/>
          <c:order val="0"/>
          <c:tx>
            <c:strRef>
              <c:f>'[5]Sensitivity L19, L18'!$C$43</c:f>
              <c:strCache>
                <c:ptCount val="1"/>
                <c:pt idx="0">
                  <c:v>0.45</c:v>
                </c:pt>
              </c:strCache>
            </c:strRef>
          </c:tx>
          <c:cat>
            <c:numRef>
              <c:f>'[5]Sensitivity L19, L18'!$D$42:$N$42</c:f>
              <c:numCache>
                <c:formatCode>General</c:formatCode>
                <c:ptCount val="11"/>
                <c:pt idx="0">
                  <c:v>0.3</c:v>
                </c:pt>
                <c:pt idx="1">
                  <c:v>0.32</c:v>
                </c:pt>
                <c:pt idx="2">
                  <c:v>0.33999999999999997</c:v>
                </c:pt>
                <c:pt idx="3">
                  <c:v>0.36</c:v>
                </c:pt>
                <c:pt idx="4">
                  <c:v>0.38</c:v>
                </c:pt>
                <c:pt idx="5">
                  <c:v>0.4</c:v>
                </c:pt>
                <c:pt idx="6">
                  <c:v>0.42</c:v>
                </c:pt>
                <c:pt idx="7">
                  <c:v>0.44</c:v>
                </c:pt>
                <c:pt idx="8">
                  <c:v>0.46</c:v>
                </c:pt>
                <c:pt idx="9">
                  <c:v>0.48</c:v>
                </c:pt>
                <c:pt idx="10">
                  <c:v>0.5</c:v>
                </c:pt>
              </c:numCache>
            </c:numRef>
          </c:cat>
          <c:val>
            <c:numRef>
              <c:f>'[5]Sensitivity L19, L18'!$D$43:$N$43</c:f>
              <c:numCache>
                <c:formatCode>General</c:formatCode>
                <c:ptCount val="11"/>
                <c:pt idx="0">
                  <c:v>-0.21259261467146759</c:v>
                </c:pt>
                <c:pt idx="1">
                  <c:v>-0.21259261467146759</c:v>
                </c:pt>
                <c:pt idx="2">
                  <c:v>-0.21259261467146759</c:v>
                </c:pt>
                <c:pt idx="3">
                  <c:v>-0.21259261467146759</c:v>
                </c:pt>
                <c:pt idx="4">
                  <c:v>-0.21259261467146759</c:v>
                </c:pt>
                <c:pt idx="5">
                  <c:v>-0.21259261467146759</c:v>
                </c:pt>
                <c:pt idx="6">
                  <c:v>-0.21259261467146759</c:v>
                </c:pt>
                <c:pt idx="7">
                  <c:v>-0.21259261467146759</c:v>
                </c:pt>
                <c:pt idx="8">
                  <c:v>-0.21259261467146759</c:v>
                </c:pt>
                <c:pt idx="9">
                  <c:v>-0.21259261467146759</c:v>
                </c:pt>
                <c:pt idx="10">
                  <c:v>-0.21259261467146759</c:v>
                </c:pt>
              </c:numCache>
            </c:numRef>
          </c:val>
        </c:ser>
        <c:ser>
          <c:idx val="1"/>
          <c:order val="1"/>
          <c:tx>
            <c:strRef>
              <c:f>'[5]Sensitivity L19, L18'!$C$44</c:f>
              <c:strCache>
                <c:ptCount val="1"/>
                <c:pt idx="0">
                  <c:v>0.48</c:v>
                </c:pt>
              </c:strCache>
            </c:strRef>
          </c:tx>
          <c:cat>
            <c:numRef>
              <c:f>'[5]Sensitivity L19, L18'!$D$42:$N$42</c:f>
              <c:numCache>
                <c:formatCode>General</c:formatCode>
                <c:ptCount val="11"/>
                <c:pt idx="0">
                  <c:v>0.3</c:v>
                </c:pt>
                <c:pt idx="1">
                  <c:v>0.32</c:v>
                </c:pt>
                <c:pt idx="2">
                  <c:v>0.33999999999999997</c:v>
                </c:pt>
                <c:pt idx="3">
                  <c:v>0.36</c:v>
                </c:pt>
                <c:pt idx="4">
                  <c:v>0.38</c:v>
                </c:pt>
                <c:pt idx="5">
                  <c:v>0.4</c:v>
                </c:pt>
                <c:pt idx="6">
                  <c:v>0.42</c:v>
                </c:pt>
                <c:pt idx="7">
                  <c:v>0.44</c:v>
                </c:pt>
                <c:pt idx="8">
                  <c:v>0.46</c:v>
                </c:pt>
                <c:pt idx="9">
                  <c:v>0.48</c:v>
                </c:pt>
                <c:pt idx="10">
                  <c:v>0.5</c:v>
                </c:pt>
              </c:numCache>
            </c:numRef>
          </c:cat>
          <c:val>
            <c:numRef>
              <c:f>'[5]Sensitivity L19, L18'!$D$44:$N$44</c:f>
              <c:numCache>
                <c:formatCode>General</c:formatCode>
                <c:ptCount val="11"/>
                <c:pt idx="0">
                  <c:v>-0.21259261467146759</c:v>
                </c:pt>
                <c:pt idx="1">
                  <c:v>-0.21259261467146759</c:v>
                </c:pt>
                <c:pt idx="2">
                  <c:v>-0.21259261467146759</c:v>
                </c:pt>
                <c:pt idx="3">
                  <c:v>-0.21259261467146759</c:v>
                </c:pt>
                <c:pt idx="4">
                  <c:v>-0.21259261467146759</c:v>
                </c:pt>
                <c:pt idx="5">
                  <c:v>-0.21259261467146759</c:v>
                </c:pt>
                <c:pt idx="6">
                  <c:v>-0.21259261467146759</c:v>
                </c:pt>
                <c:pt idx="7">
                  <c:v>-0.21259261467146759</c:v>
                </c:pt>
                <c:pt idx="8">
                  <c:v>-0.21259261467146759</c:v>
                </c:pt>
                <c:pt idx="9">
                  <c:v>-0.11375360070627194</c:v>
                </c:pt>
                <c:pt idx="10">
                  <c:v>0.1264095516774161</c:v>
                </c:pt>
              </c:numCache>
            </c:numRef>
          </c:val>
        </c:ser>
        <c:ser>
          <c:idx val="2"/>
          <c:order val="2"/>
          <c:tx>
            <c:strRef>
              <c:f>'[5]Sensitivity L19, L18'!$C$45</c:f>
              <c:strCache>
                <c:ptCount val="1"/>
                <c:pt idx="0">
                  <c:v>0.51</c:v>
                </c:pt>
              </c:strCache>
            </c:strRef>
          </c:tx>
          <c:cat>
            <c:numRef>
              <c:f>'[5]Sensitivity L19, L18'!$D$42:$N$42</c:f>
              <c:numCache>
                <c:formatCode>General</c:formatCode>
                <c:ptCount val="11"/>
                <c:pt idx="0">
                  <c:v>0.3</c:v>
                </c:pt>
                <c:pt idx="1">
                  <c:v>0.32</c:v>
                </c:pt>
                <c:pt idx="2">
                  <c:v>0.33999999999999997</c:v>
                </c:pt>
                <c:pt idx="3">
                  <c:v>0.36</c:v>
                </c:pt>
                <c:pt idx="4">
                  <c:v>0.38</c:v>
                </c:pt>
                <c:pt idx="5">
                  <c:v>0.4</c:v>
                </c:pt>
                <c:pt idx="6">
                  <c:v>0.42</c:v>
                </c:pt>
                <c:pt idx="7">
                  <c:v>0.44</c:v>
                </c:pt>
                <c:pt idx="8">
                  <c:v>0.46</c:v>
                </c:pt>
                <c:pt idx="9">
                  <c:v>0.48</c:v>
                </c:pt>
                <c:pt idx="10">
                  <c:v>0.5</c:v>
                </c:pt>
              </c:numCache>
            </c:numRef>
          </c:cat>
          <c:val>
            <c:numRef>
              <c:f>'[5]Sensitivity L19, L18'!$D$45:$N$45</c:f>
              <c:numCache>
                <c:formatCode>General</c:formatCode>
                <c:ptCount val="11"/>
                <c:pt idx="0">
                  <c:v>-0.21259261467146759</c:v>
                </c:pt>
                <c:pt idx="1">
                  <c:v>-0.21259261467146759</c:v>
                </c:pt>
                <c:pt idx="2">
                  <c:v>-0.21259261467146759</c:v>
                </c:pt>
                <c:pt idx="3">
                  <c:v>-0.21259261467146759</c:v>
                </c:pt>
                <c:pt idx="4">
                  <c:v>-0.21259261467146759</c:v>
                </c:pt>
                <c:pt idx="5">
                  <c:v>-0.21259261467146759</c:v>
                </c:pt>
                <c:pt idx="6">
                  <c:v>-0.21259261467146759</c:v>
                </c:pt>
                <c:pt idx="7">
                  <c:v>-4.9172861148785572E-2</c:v>
                </c:pt>
                <c:pt idx="8">
                  <c:v>0.2060004882588839</c:v>
                </c:pt>
                <c:pt idx="9">
                  <c:v>0.46117383766655334</c:v>
                </c:pt>
                <c:pt idx="10">
                  <c:v>0.71634718707422185</c:v>
                </c:pt>
              </c:numCache>
            </c:numRef>
          </c:val>
        </c:ser>
        <c:ser>
          <c:idx val="3"/>
          <c:order val="3"/>
          <c:tx>
            <c:strRef>
              <c:f>'[5]Sensitivity L19, L18'!$C$46</c:f>
              <c:strCache>
                <c:ptCount val="1"/>
                <c:pt idx="0">
                  <c:v>0.54</c:v>
                </c:pt>
              </c:strCache>
            </c:strRef>
          </c:tx>
          <c:cat>
            <c:numRef>
              <c:f>'[5]Sensitivity L19, L18'!$D$42:$N$42</c:f>
              <c:numCache>
                <c:formatCode>General</c:formatCode>
                <c:ptCount val="11"/>
                <c:pt idx="0">
                  <c:v>0.3</c:v>
                </c:pt>
                <c:pt idx="1">
                  <c:v>0.32</c:v>
                </c:pt>
                <c:pt idx="2">
                  <c:v>0.33999999999999997</c:v>
                </c:pt>
                <c:pt idx="3">
                  <c:v>0.36</c:v>
                </c:pt>
                <c:pt idx="4">
                  <c:v>0.38</c:v>
                </c:pt>
                <c:pt idx="5">
                  <c:v>0.4</c:v>
                </c:pt>
                <c:pt idx="6">
                  <c:v>0.42</c:v>
                </c:pt>
                <c:pt idx="7">
                  <c:v>0.44</c:v>
                </c:pt>
                <c:pt idx="8">
                  <c:v>0.46</c:v>
                </c:pt>
                <c:pt idx="9">
                  <c:v>0.48</c:v>
                </c:pt>
                <c:pt idx="10">
                  <c:v>0.5</c:v>
                </c:pt>
              </c:numCache>
            </c:numRef>
          </c:cat>
          <c:val>
            <c:numRef>
              <c:f>'[5]Sensitivity L19, L18'!$D$46:$N$46</c:f>
              <c:numCache>
                <c:formatCode>General</c:formatCode>
                <c:ptCount val="11"/>
                <c:pt idx="0">
                  <c:v>-0.21259261467146759</c:v>
                </c:pt>
                <c:pt idx="1">
                  <c:v>-0.21259261467146759</c:v>
                </c:pt>
                <c:pt idx="2">
                  <c:v>-0.21259261467146759</c:v>
                </c:pt>
                <c:pt idx="3">
                  <c:v>-0.21259261467146759</c:v>
                </c:pt>
                <c:pt idx="4">
                  <c:v>-0.21259261467146759</c:v>
                </c:pt>
                <c:pt idx="5">
                  <c:v>-4.4632909687221944E-2</c:v>
                </c:pt>
                <c:pt idx="6">
                  <c:v>0.22555063674442657</c:v>
                </c:pt>
                <c:pt idx="7">
                  <c:v>0.49573418317607654</c:v>
                </c:pt>
                <c:pt idx="8">
                  <c:v>0.76591772960772653</c:v>
                </c:pt>
                <c:pt idx="9">
                  <c:v>1.0361012760393764</c:v>
                </c:pt>
                <c:pt idx="10">
                  <c:v>1.3062848224710255</c:v>
                </c:pt>
              </c:numCache>
            </c:numRef>
          </c:val>
        </c:ser>
        <c:ser>
          <c:idx val="4"/>
          <c:order val="4"/>
          <c:tx>
            <c:strRef>
              <c:f>'[5]Sensitivity L19, L18'!$C$47</c:f>
              <c:strCache>
                <c:ptCount val="1"/>
                <c:pt idx="0">
                  <c:v>0.57</c:v>
                </c:pt>
              </c:strCache>
            </c:strRef>
          </c:tx>
          <c:cat>
            <c:numRef>
              <c:f>'[5]Sensitivity L19, L18'!$D$42:$N$42</c:f>
              <c:numCache>
                <c:formatCode>General</c:formatCode>
                <c:ptCount val="11"/>
                <c:pt idx="0">
                  <c:v>0.3</c:v>
                </c:pt>
                <c:pt idx="1">
                  <c:v>0.32</c:v>
                </c:pt>
                <c:pt idx="2">
                  <c:v>0.33999999999999997</c:v>
                </c:pt>
                <c:pt idx="3">
                  <c:v>0.36</c:v>
                </c:pt>
                <c:pt idx="4">
                  <c:v>0.38</c:v>
                </c:pt>
                <c:pt idx="5">
                  <c:v>0.4</c:v>
                </c:pt>
                <c:pt idx="6">
                  <c:v>0.42</c:v>
                </c:pt>
                <c:pt idx="7">
                  <c:v>0.44</c:v>
                </c:pt>
                <c:pt idx="8">
                  <c:v>0.46</c:v>
                </c:pt>
                <c:pt idx="9">
                  <c:v>0.48</c:v>
                </c:pt>
                <c:pt idx="10">
                  <c:v>0.5</c:v>
                </c:pt>
              </c:numCache>
            </c:numRef>
          </c:cat>
          <c:val>
            <c:numRef>
              <c:f>'[5]Sensitivity L19, L18'!$D$47:$N$47</c:f>
              <c:numCache>
                <c:formatCode>General</c:formatCode>
                <c:ptCount val="11"/>
                <c:pt idx="0">
                  <c:v>-0.21259261467146759</c:v>
                </c:pt>
                <c:pt idx="1">
                  <c:v>-0.21259261467146759</c:v>
                </c:pt>
                <c:pt idx="2">
                  <c:v>-0.21259261467146759</c:v>
                </c:pt>
                <c:pt idx="3">
                  <c:v>-0.10013374632157994</c:v>
                </c:pt>
                <c:pt idx="4">
                  <c:v>0.18505999713405061</c:v>
                </c:pt>
                <c:pt idx="5">
                  <c:v>0.47025374058968111</c:v>
                </c:pt>
                <c:pt idx="6">
                  <c:v>0.75544748404531015</c:v>
                </c:pt>
                <c:pt idx="7">
                  <c:v>1.0406412275009407</c:v>
                </c:pt>
                <c:pt idx="8">
                  <c:v>1.3258349709565713</c:v>
                </c:pt>
                <c:pt idx="9">
                  <c:v>1.6110287144122017</c:v>
                </c:pt>
                <c:pt idx="10">
                  <c:v>1.8962224578678313</c:v>
                </c:pt>
              </c:numCache>
            </c:numRef>
          </c:val>
        </c:ser>
        <c:ser>
          <c:idx val="5"/>
          <c:order val="5"/>
          <c:tx>
            <c:strRef>
              <c:f>'[5]Sensitivity L19, L18'!$C$48</c:f>
              <c:strCache>
                <c:ptCount val="1"/>
                <c:pt idx="0">
                  <c:v>0.6</c:v>
                </c:pt>
              </c:strCache>
            </c:strRef>
          </c:tx>
          <c:cat>
            <c:numRef>
              <c:f>'[5]Sensitivity L19, L18'!$D$42:$N$42</c:f>
              <c:numCache>
                <c:formatCode>General</c:formatCode>
                <c:ptCount val="11"/>
                <c:pt idx="0">
                  <c:v>0.3</c:v>
                </c:pt>
                <c:pt idx="1">
                  <c:v>0.32</c:v>
                </c:pt>
                <c:pt idx="2">
                  <c:v>0.33999999999999997</c:v>
                </c:pt>
                <c:pt idx="3">
                  <c:v>0.36</c:v>
                </c:pt>
                <c:pt idx="4">
                  <c:v>0.38</c:v>
                </c:pt>
                <c:pt idx="5">
                  <c:v>0.4</c:v>
                </c:pt>
                <c:pt idx="6">
                  <c:v>0.42</c:v>
                </c:pt>
                <c:pt idx="7">
                  <c:v>0.44</c:v>
                </c:pt>
                <c:pt idx="8">
                  <c:v>0.46</c:v>
                </c:pt>
                <c:pt idx="9">
                  <c:v>0.48</c:v>
                </c:pt>
                <c:pt idx="10">
                  <c:v>0.5</c:v>
                </c:pt>
              </c:numCache>
            </c:numRef>
          </c:cat>
          <c:val>
            <c:numRef>
              <c:f>'[5]Sensitivity L19, L18'!$D$48:$N$48</c:f>
              <c:numCache>
                <c:formatCode>General</c:formatCode>
                <c:ptCount val="11"/>
                <c:pt idx="0">
                  <c:v>-0.21259261467146759</c:v>
                </c:pt>
                <c:pt idx="1">
                  <c:v>-0.21259261467146759</c:v>
                </c:pt>
                <c:pt idx="2">
                  <c:v>8.4528569427750902E-2</c:v>
                </c:pt>
                <c:pt idx="3">
                  <c:v>0.38473250990736202</c:v>
                </c:pt>
                <c:pt idx="4">
                  <c:v>0.68493645038697315</c:v>
                </c:pt>
                <c:pt idx="5">
                  <c:v>0.98514039086658423</c:v>
                </c:pt>
                <c:pt idx="6">
                  <c:v>1.2853443313461936</c:v>
                </c:pt>
                <c:pt idx="7">
                  <c:v>1.5855482718258049</c:v>
                </c:pt>
                <c:pt idx="8">
                  <c:v>1.885752212305416</c:v>
                </c:pt>
                <c:pt idx="9">
                  <c:v>2.1859561527850269</c:v>
                </c:pt>
                <c:pt idx="10">
                  <c:v>2.4861600932646373</c:v>
                </c:pt>
              </c:numCache>
            </c:numRef>
          </c:val>
        </c:ser>
        <c:ser>
          <c:idx val="6"/>
          <c:order val="6"/>
          <c:tx>
            <c:strRef>
              <c:f>'[5]Sensitivity L19, L18'!$C$49</c:f>
              <c:strCache>
                <c:ptCount val="1"/>
                <c:pt idx="0">
                  <c:v>0.63</c:v>
                </c:pt>
              </c:strCache>
            </c:strRef>
          </c:tx>
          <c:cat>
            <c:numRef>
              <c:f>'[5]Sensitivity L19, L18'!$D$42:$N$42</c:f>
              <c:numCache>
                <c:formatCode>General</c:formatCode>
                <c:ptCount val="11"/>
                <c:pt idx="0">
                  <c:v>0.3</c:v>
                </c:pt>
                <c:pt idx="1">
                  <c:v>0.32</c:v>
                </c:pt>
                <c:pt idx="2">
                  <c:v>0.33999999999999997</c:v>
                </c:pt>
                <c:pt idx="3">
                  <c:v>0.36</c:v>
                </c:pt>
                <c:pt idx="4">
                  <c:v>0.38</c:v>
                </c:pt>
                <c:pt idx="5">
                  <c:v>0.4</c:v>
                </c:pt>
                <c:pt idx="6">
                  <c:v>0.42</c:v>
                </c:pt>
                <c:pt idx="7">
                  <c:v>0.44</c:v>
                </c:pt>
                <c:pt idx="8">
                  <c:v>0.46</c:v>
                </c:pt>
                <c:pt idx="9">
                  <c:v>0.48</c:v>
                </c:pt>
                <c:pt idx="10">
                  <c:v>0.5</c:v>
                </c:pt>
              </c:numCache>
            </c:numRef>
          </c:cat>
          <c:val>
            <c:numRef>
              <c:f>'[5]Sensitivity L19, L18'!$D$49:$N$49</c:f>
              <c:numCache>
                <c:formatCode>General</c:formatCode>
                <c:ptCount val="11"/>
                <c:pt idx="0">
                  <c:v>-7.6043646374469961E-2</c:v>
                </c:pt>
                <c:pt idx="1">
                  <c:v>0.2391704911291217</c:v>
                </c:pt>
                <c:pt idx="2">
                  <c:v>0.55438462863271232</c:v>
                </c:pt>
                <c:pt idx="3">
                  <c:v>0.86959876613630394</c:v>
                </c:pt>
                <c:pt idx="4">
                  <c:v>1.1848129036398956</c:v>
                </c:pt>
                <c:pt idx="5">
                  <c:v>1.5000270411434873</c:v>
                </c:pt>
                <c:pt idx="6">
                  <c:v>1.8152411786470772</c:v>
                </c:pt>
                <c:pt idx="7">
                  <c:v>2.1304553161506692</c:v>
                </c:pt>
                <c:pt idx="8">
                  <c:v>2.4456694536542605</c:v>
                </c:pt>
                <c:pt idx="9">
                  <c:v>2.7608835911578522</c:v>
                </c:pt>
                <c:pt idx="10">
                  <c:v>3.076097728661443</c:v>
                </c:pt>
              </c:numCache>
            </c:numRef>
          </c:val>
        </c:ser>
        <c:ser>
          <c:idx val="7"/>
          <c:order val="7"/>
          <c:tx>
            <c:strRef>
              <c:f>'[5]Sensitivity L19, L18'!$C$50</c:f>
              <c:strCache>
                <c:ptCount val="1"/>
                <c:pt idx="0">
                  <c:v>0.66</c:v>
                </c:pt>
              </c:strCache>
            </c:strRef>
          </c:tx>
          <c:cat>
            <c:numRef>
              <c:f>'[5]Sensitivity L19, L18'!$D$42:$N$42</c:f>
              <c:numCache>
                <c:formatCode>General</c:formatCode>
                <c:ptCount val="11"/>
                <c:pt idx="0">
                  <c:v>0.3</c:v>
                </c:pt>
                <c:pt idx="1">
                  <c:v>0.32</c:v>
                </c:pt>
                <c:pt idx="2">
                  <c:v>0.33999999999999997</c:v>
                </c:pt>
                <c:pt idx="3">
                  <c:v>0.36</c:v>
                </c:pt>
                <c:pt idx="4">
                  <c:v>0.38</c:v>
                </c:pt>
                <c:pt idx="5">
                  <c:v>0.4</c:v>
                </c:pt>
                <c:pt idx="6">
                  <c:v>0.42</c:v>
                </c:pt>
                <c:pt idx="7">
                  <c:v>0.44</c:v>
                </c:pt>
                <c:pt idx="8">
                  <c:v>0.46</c:v>
                </c:pt>
                <c:pt idx="9">
                  <c:v>0.48</c:v>
                </c:pt>
                <c:pt idx="10">
                  <c:v>0.5</c:v>
                </c:pt>
              </c:numCache>
            </c:numRef>
          </c:cat>
          <c:val>
            <c:numRef>
              <c:f>'[5]Sensitivity L19, L18'!$D$50:$N$50</c:f>
              <c:numCache>
                <c:formatCode>General</c:formatCode>
                <c:ptCount val="11"/>
                <c:pt idx="0">
                  <c:v>0.36379201878253031</c:v>
                </c:pt>
                <c:pt idx="1">
                  <c:v>0.69401635331010259</c:v>
                </c:pt>
                <c:pt idx="2">
                  <c:v>1.0242406878376737</c:v>
                </c:pt>
                <c:pt idx="3">
                  <c:v>1.3544650223652459</c:v>
                </c:pt>
                <c:pt idx="4">
                  <c:v>1.6846893568928181</c:v>
                </c:pt>
                <c:pt idx="5">
                  <c:v>2.0149136914203902</c:v>
                </c:pt>
                <c:pt idx="6">
                  <c:v>2.3451380259479611</c:v>
                </c:pt>
                <c:pt idx="7">
                  <c:v>2.6753623604755332</c:v>
                </c:pt>
                <c:pt idx="8">
                  <c:v>3.0055866950031054</c:v>
                </c:pt>
                <c:pt idx="9">
                  <c:v>3.3358110295306775</c:v>
                </c:pt>
                <c:pt idx="10">
                  <c:v>3.6660353640582488</c:v>
                </c:pt>
              </c:numCache>
            </c:numRef>
          </c:val>
        </c:ser>
        <c:ser>
          <c:idx val="8"/>
          <c:order val="8"/>
          <c:tx>
            <c:strRef>
              <c:f>'[5]Sensitivity L19, L18'!$C$51</c:f>
              <c:strCache>
                <c:ptCount val="1"/>
                <c:pt idx="0">
                  <c:v>0.69</c:v>
                </c:pt>
              </c:strCache>
            </c:strRef>
          </c:tx>
          <c:cat>
            <c:numRef>
              <c:f>'[5]Sensitivity L19, L18'!$D$42:$N$42</c:f>
              <c:numCache>
                <c:formatCode>General</c:formatCode>
                <c:ptCount val="11"/>
                <c:pt idx="0">
                  <c:v>0.3</c:v>
                </c:pt>
                <c:pt idx="1">
                  <c:v>0.32</c:v>
                </c:pt>
                <c:pt idx="2">
                  <c:v>0.33999999999999997</c:v>
                </c:pt>
                <c:pt idx="3">
                  <c:v>0.36</c:v>
                </c:pt>
                <c:pt idx="4">
                  <c:v>0.38</c:v>
                </c:pt>
                <c:pt idx="5">
                  <c:v>0.4</c:v>
                </c:pt>
                <c:pt idx="6">
                  <c:v>0.42</c:v>
                </c:pt>
                <c:pt idx="7">
                  <c:v>0.44</c:v>
                </c:pt>
                <c:pt idx="8">
                  <c:v>0.46</c:v>
                </c:pt>
                <c:pt idx="9">
                  <c:v>0.48</c:v>
                </c:pt>
                <c:pt idx="10">
                  <c:v>0.5</c:v>
                </c:pt>
              </c:numCache>
            </c:numRef>
          </c:cat>
          <c:val>
            <c:numRef>
              <c:f>'[5]Sensitivity L19, L18'!$D$51:$N$51</c:f>
              <c:numCache>
                <c:formatCode>General</c:formatCode>
                <c:ptCount val="11"/>
                <c:pt idx="0">
                  <c:v>0.80362768393952899</c:v>
                </c:pt>
                <c:pt idx="1">
                  <c:v>1.1488622154910817</c:v>
                </c:pt>
                <c:pt idx="2">
                  <c:v>1.4940967470426332</c:v>
                </c:pt>
                <c:pt idx="3">
                  <c:v>1.839331278594186</c:v>
                </c:pt>
                <c:pt idx="4">
                  <c:v>2.184565810145739</c:v>
                </c:pt>
                <c:pt idx="5">
                  <c:v>2.5298003416972916</c:v>
                </c:pt>
                <c:pt idx="6">
                  <c:v>2.8750348732488424</c:v>
                </c:pt>
                <c:pt idx="7">
                  <c:v>3.2202694048003955</c:v>
                </c:pt>
                <c:pt idx="8">
                  <c:v>3.5655039363519481</c:v>
                </c:pt>
                <c:pt idx="9">
                  <c:v>3.9107384679035007</c:v>
                </c:pt>
                <c:pt idx="10">
                  <c:v>4.2559729994550519</c:v>
                </c:pt>
              </c:numCache>
            </c:numRef>
          </c:val>
        </c:ser>
        <c:ser>
          <c:idx val="9"/>
          <c:order val="9"/>
          <c:tx>
            <c:strRef>
              <c:f>'[5]Sensitivity L19, L18'!$C$52</c:f>
              <c:strCache>
                <c:ptCount val="1"/>
                <c:pt idx="0">
                  <c:v>0.72</c:v>
                </c:pt>
              </c:strCache>
            </c:strRef>
          </c:tx>
          <c:cat>
            <c:numRef>
              <c:f>'[5]Sensitivity L19, L18'!$D$42:$N$42</c:f>
              <c:numCache>
                <c:formatCode>General</c:formatCode>
                <c:ptCount val="11"/>
                <c:pt idx="0">
                  <c:v>0.3</c:v>
                </c:pt>
                <c:pt idx="1">
                  <c:v>0.32</c:v>
                </c:pt>
                <c:pt idx="2">
                  <c:v>0.33999999999999997</c:v>
                </c:pt>
                <c:pt idx="3">
                  <c:v>0.36</c:v>
                </c:pt>
                <c:pt idx="4">
                  <c:v>0.38</c:v>
                </c:pt>
                <c:pt idx="5">
                  <c:v>0.4</c:v>
                </c:pt>
                <c:pt idx="6">
                  <c:v>0.42</c:v>
                </c:pt>
                <c:pt idx="7">
                  <c:v>0.44</c:v>
                </c:pt>
                <c:pt idx="8">
                  <c:v>0.46</c:v>
                </c:pt>
                <c:pt idx="9">
                  <c:v>0.48</c:v>
                </c:pt>
                <c:pt idx="10">
                  <c:v>0.5</c:v>
                </c:pt>
              </c:numCache>
            </c:numRef>
          </c:cat>
          <c:val>
            <c:numRef>
              <c:f>'[5]Sensitivity L19, L18'!$D$52:$N$52</c:f>
              <c:numCache>
                <c:formatCode>General</c:formatCode>
                <c:ptCount val="11"/>
                <c:pt idx="0">
                  <c:v>1.2434633490965292</c:v>
                </c:pt>
                <c:pt idx="1">
                  <c:v>1.6037080776720627</c:v>
                </c:pt>
                <c:pt idx="2">
                  <c:v>1.9639528062475946</c:v>
                </c:pt>
                <c:pt idx="3">
                  <c:v>2.3241975348231279</c:v>
                </c:pt>
                <c:pt idx="4">
                  <c:v>2.6844422633986613</c:v>
                </c:pt>
                <c:pt idx="5">
                  <c:v>3.0446869919741948</c:v>
                </c:pt>
                <c:pt idx="6">
                  <c:v>3.404931720549726</c:v>
                </c:pt>
                <c:pt idx="7">
                  <c:v>3.7651764491252595</c:v>
                </c:pt>
                <c:pt idx="8">
                  <c:v>4.125421177700793</c:v>
                </c:pt>
                <c:pt idx="9">
                  <c:v>4.485665906276326</c:v>
                </c:pt>
                <c:pt idx="10">
                  <c:v>4.8459106348518581</c:v>
                </c:pt>
              </c:numCache>
            </c:numRef>
          </c:val>
        </c:ser>
        <c:ser>
          <c:idx val="10"/>
          <c:order val="10"/>
          <c:tx>
            <c:strRef>
              <c:f>'[5]Sensitivity L19, L18'!$C$53</c:f>
              <c:strCache>
                <c:ptCount val="1"/>
                <c:pt idx="0">
                  <c:v>0.75</c:v>
                </c:pt>
              </c:strCache>
            </c:strRef>
          </c:tx>
          <c:cat>
            <c:numRef>
              <c:f>'[5]Sensitivity L19, L18'!$D$42:$N$42</c:f>
              <c:numCache>
                <c:formatCode>General</c:formatCode>
                <c:ptCount val="11"/>
                <c:pt idx="0">
                  <c:v>0.3</c:v>
                </c:pt>
                <c:pt idx="1">
                  <c:v>0.32</c:v>
                </c:pt>
                <c:pt idx="2">
                  <c:v>0.33999999999999997</c:v>
                </c:pt>
                <c:pt idx="3">
                  <c:v>0.36</c:v>
                </c:pt>
                <c:pt idx="4">
                  <c:v>0.38</c:v>
                </c:pt>
                <c:pt idx="5">
                  <c:v>0.4</c:v>
                </c:pt>
                <c:pt idx="6">
                  <c:v>0.42</c:v>
                </c:pt>
                <c:pt idx="7">
                  <c:v>0.44</c:v>
                </c:pt>
                <c:pt idx="8">
                  <c:v>0.46</c:v>
                </c:pt>
                <c:pt idx="9">
                  <c:v>0.48</c:v>
                </c:pt>
                <c:pt idx="10">
                  <c:v>0.5</c:v>
                </c:pt>
              </c:numCache>
            </c:numRef>
          </c:cat>
          <c:val>
            <c:numRef>
              <c:f>'[5]Sensitivity L19, L18'!$D$53:$N$53</c:f>
              <c:numCache>
                <c:formatCode>General</c:formatCode>
                <c:ptCount val="11"/>
                <c:pt idx="0">
                  <c:v>1.6832990142535296</c:v>
                </c:pt>
                <c:pt idx="1">
                  <c:v>2.0585539398530432</c:v>
                </c:pt>
                <c:pt idx="2">
                  <c:v>2.4338088654525558</c:v>
                </c:pt>
                <c:pt idx="3">
                  <c:v>2.8090637910520702</c:v>
                </c:pt>
                <c:pt idx="4">
                  <c:v>3.1843187166515836</c:v>
                </c:pt>
                <c:pt idx="5">
                  <c:v>3.559573642251098</c:v>
                </c:pt>
                <c:pt idx="6">
                  <c:v>3.9348285678506096</c:v>
                </c:pt>
                <c:pt idx="7">
                  <c:v>4.310083493450124</c:v>
                </c:pt>
                <c:pt idx="8">
                  <c:v>4.6853384190496374</c:v>
                </c:pt>
                <c:pt idx="9">
                  <c:v>5.0605933446491509</c:v>
                </c:pt>
                <c:pt idx="10">
                  <c:v>5.4358482702486643</c:v>
                </c:pt>
              </c:numCache>
            </c:numRef>
          </c:val>
        </c:ser>
        <c:bandFmts>
          <c:bandFmt>
            <c:idx val="0"/>
            <c:spPr>
              <a:solidFill>
                <a:srgbClr val="3366FF"/>
              </a:solidFill>
              <a:ln>
                <a:solidFill>
                  <a:srgbClr val="C0C0C0"/>
                </a:solidFill>
                <a:prstDash val="solid"/>
              </a:ln>
            </c:spPr>
          </c:bandFmt>
          <c:bandFmt>
            <c:idx val="1"/>
            <c:spPr>
              <a:solidFill>
                <a:srgbClr val="3366FF"/>
              </a:solidFill>
              <a:ln>
                <a:solidFill>
                  <a:srgbClr val="C0C0C0"/>
                </a:solidFill>
                <a:prstDash val="solid"/>
              </a:ln>
            </c:spPr>
          </c:bandFmt>
          <c:bandFmt>
            <c:idx val="2"/>
            <c:spPr>
              <a:solidFill>
                <a:srgbClr val="3366FF"/>
              </a:solidFill>
              <a:ln>
                <a:solidFill>
                  <a:srgbClr val="C0C0C0"/>
                </a:solidFill>
                <a:prstDash val="solid"/>
              </a:ln>
            </c:spPr>
          </c:bandFmt>
          <c:bandFmt>
            <c:idx val="3"/>
            <c:spPr>
              <a:solidFill>
                <a:srgbClr val="3366FF"/>
              </a:solidFill>
              <a:ln>
                <a:solidFill>
                  <a:srgbClr val="C0C0C0"/>
                </a:solidFill>
                <a:prstDash val="solid"/>
              </a:ln>
            </c:spPr>
          </c:bandFmt>
          <c:bandFmt>
            <c:idx val="4"/>
            <c:spPr>
              <a:solidFill>
                <a:srgbClr val="3366FF"/>
              </a:solidFill>
              <a:ln>
                <a:solidFill>
                  <a:srgbClr val="C0C0C0"/>
                </a:solidFill>
                <a:prstDash val="solid"/>
              </a:ln>
            </c:spPr>
          </c:bandFmt>
          <c:bandFmt>
            <c:idx val="5"/>
            <c:spPr>
              <a:solidFill>
                <a:srgbClr val="3366FF"/>
              </a:solidFill>
              <a:ln>
                <a:solidFill>
                  <a:srgbClr val="C0C0C0"/>
                </a:solidFill>
                <a:prstDash val="solid"/>
              </a:ln>
            </c:spPr>
          </c:bandFmt>
          <c:bandFmt>
            <c:idx val="6"/>
            <c:spPr>
              <a:solidFill>
                <a:srgbClr val="3366FF"/>
              </a:solidFill>
              <a:ln>
                <a:solidFill>
                  <a:srgbClr val="C0C0C0"/>
                </a:solidFill>
                <a:prstDash val="solid"/>
              </a:ln>
            </c:spPr>
          </c:bandFmt>
        </c:bandFmts>
        <c:axId val="109647744"/>
        <c:axId val="109678592"/>
        <c:axId val="109641728"/>
      </c:surface3DChart>
      <c:catAx>
        <c:axId val="109647744"/>
        <c:scaling>
          <c:orientation val="minMax"/>
        </c:scaling>
        <c:delete val="0"/>
        <c:axPos val="b"/>
        <c:majorGridlines>
          <c:spPr>
            <a:ln>
              <a:solidFill>
                <a:srgbClr val="C0C0C0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 sz="1100" b="1"/>
                </a:pPr>
                <a:r>
                  <a:rPr lang="en-US" sz="1100" b="1"/>
                  <a:t>P(DG Creates Value) (L19)</a:t>
                </a:r>
              </a:p>
            </c:rich>
          </c:tx>
          <c:layout>
            <c:manualLayout>
              <c:xMode val="edge"/>
              <c:yMode val="edge"/>
              <c:x val="0.28745143130473177"/>
              <c:y val="0.95614894024689556"/>
            </c:manualLayout>
          </c:layout>
          <c:overlay val="0"/>
        </c:title>
        <c:numFmt formatCode="General" sourceLinked="1"/>
        <c:majorTickMark val="none"/>
        <c:minorTickMark val="none"/>
        <c:tickLblPos val="nextTo"/>
        <c:spPr>
          <a:ln>
            <a:solidFill>
              <a:srgbClr val="C0C0C0"/>
            </a:solidFill>
            <a:prstDash val="solid"/>
          </a:ln>
        </c:spPr>
        <c:txPr>
          <a:bodyPr/>
          <a:lstStyle/>
          <a:p>
            <a:pPr>
              <a:defRPr sz="800"/>
            </a:pPr>
            <a:endParaRPr lang="en-US"/>
          </a:p>
        </c:txPr>
        <c:crossAx val="109678592"/>
        <c:crosses val="min"/>
        <c:auto val="1"/>
        <c:lblAlgn val="ctr"/>
        <c:lblOffset val="100"/>
        <c:noMultiLvlLbl val="0"/>
      </c:catAx>
      <c:valAx>
        <c:axId val="109678592"/>
        <c:scaling>
          <c:orientation val="minMax"/>
          <c:max val="6"/>
          <c:min val="-1"/>
        </c:scaling>
        <c:delete val="0"/>
        <c:axPos val="l"/>
        <c:majorGridlines>
          <c:spPr>
            <a:ln>
              <a:solidFill>
                <a:srgbClr val="C0C0C0"/>
              </a:solidFill>
              <a:prstDash val="solid"/>
            </a:ln>
          </c:spPr>
        </c:majorGridlines>
        <c:title>
          <c:tx>
            <c:rich>
              <a:bodyPr rot="-5400000" vert="horz"/>
              <a:lstStyle/>
              <a:p>
                <a:pPr>
                  <a:defRPr sz="1100" b="1"/>
                </a:pPr>
                <a:r>
                  <a:rPr lang="en-US" sz="1100" b="1"/>
                  <a:t>Expected Value</a:t>
                </a:r>
              </a:p>
            </c:rich>
          </c:tx>
          <c:layout>
            <c:manualLayout>
              <c:xMode val="edge"/>
              <c:yMode val="edge"/>
              <c:x val="6.0753182721318714E-3"/>
              <c:y val="0.45688688971815949"/>
            </c:manualLayout>
          </c:layout>
          <c:overlay val="0"/>
        </c:title>
        <c:numFmt formatCode="General" sourceLinked="1"/>
        <c:majorTickMark val="none"/>
        <c:minorTickMark val="none"/>
        <c:tickLblPos val="nextTo"/>
        <c:spPr>
          <a:ln>
            <a:solidFill>
              <a:srgbClr val="C0C0C0"/>
            </a:solidFill>
            <a:prstDash val="solid"/>
          </a:ln>
        </c:spPr>
        <c:txPr>
          <a:bodyPr/>
          <a:lstStyle/>
          <a:p>
            <a:pPr>
              <a:defRPr sz="800"/>
            </a:pPr>
            <a:endParaRPr lang="en-US"/>
          </a:p>
        </c:txPr>
        <c:crossAx val="109647744"/>
        <c:crosses val="autoZero"/>
        <c:crossBetween val="midCat"/>
        <c:majorUnit val="1"/>
      </c:valAx>
      <c:serAx>
        <c:axId val="109641728"/>
        <c:scaling>
          <c:orientation val="minMax"/>
        </c:scaling>
        <c:delete val="0"/>
        <c:axPos val="b"/>
        <c:majorGridlines>
          <c:spPr>
            <a:ln>
              <a:solidFill>
                <a:srgbClr val="C0C0C0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 sz="1100" b="1"/>
                </a:pPr>
                <a:r>
                  <a:rPr lang="en-US" sz="1100" b="1"/>
                  <a:t>P(Deal Closes) (L18)</a:t>
                </a:r>
              </a:p>
            </c:rich>
          </c:tx>
          <c:layout>
            <c:manualLayout>
              <c:xMode val="edge"/>
              <c:yMode val="edge"/>
              <c:x val="0.831149091176687"/>
              <c:y val="0.81234715011724346"/>
            </c:manualLayout>
          </c:layout>
          <c:overlay val="0"/>
        </c:title>
        <c:majorTickMark val="none"/>
        <c:minorTickMark val="none"/>
        <c:tickLblPos val="nextTo"/>
        <c:spPr>
          <a:ln>
            <a:solidFill>
              <a:srgbClr val="C0C0C0"/>
            </a:solidFill>
            <a:prstDash val="solid"/>
          </a:ln>
        </c:spPr>
        <c:txPr>
          <a:bodyPr/>
          <a:lstStyle/>
          <a:p>
            <a:pPr>
              <a:defRPr sz="800"/>
            </a:pPr>
            <a:endParaRPr lang="en-US"/>
          </a:p>
        </c:txPr>
        <c:crossAx val="109678592"/>
        <c:crosses val="min"/>
      </c:serAx>
    </c:plotArea>
    <c:plotVisOnly val="1"/>
    <c:dispBlanksAs val="gap"/>
    <c:showDLblsOverMax val="0"/>
  </c:chart>
  <c:spPr>
    <a:ln w="25400"/>
  </c:spPr>
  <c:printSettings>
    <c:headerFooter/>
    <c:pageMargins b="0.75" l="0.7" r="0.7" t="0.75" header="0.3" footer="0.3"/>
    <c:pageSetup/>
  </c:printSettings>
  <c:userShapes r:id="rId1"/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/>
            </a:pPr>
            <a:r>
              <a:rPr lang="en-US"/>
              <a:t>Strategy Region of Decision Tree 'Hostile Acq?'</a:t>
            </a:r>
            <a:r>
              <a:rPr lang="en-US" sz="800" b="0" i="0" u="none" strike="noStrike" baseline="0">
                <a:solidFill>
                  <a:srgbClr val="000000"/>
                </a:solidFill>
                <a:latin typeface="+mn-lt"/>
                <a:ea typeface="+mn-lt"/>
                <a:cs typeface="+mn-lt"/>
              </a:rPr>
              <a:t>
Expected Value of Node 'Hostile?' (C18)
With Variation of Discount Rate (L14) </a:t>
            </a:r>
            <a:endParaRPr lang="en-US"/>
          </a:p>
        </c:rich>
      </c:tx>
      <c:layout/>
      <c:overlay val="0"/>
    </c:title>
    <c:autoTitleDeleted val="0"/>
    <c:plotArea>
      <c:layout>
        <c:manualLayout>
          <c:xMode val="edge"/>
          <c:yMode val="edge"/>
          <c:x val="2.5700934579439252E-2"/>
          <c:y val="0.17946339847631665"/>
          <c:w val="0.78565383766281549"/>
          <c:h val="0.7252565771113656"/>
        </c:manualLayout>
      </c:layout>
      <c:scatterChart>
        <c:scatterStyle val="lineMarker"/>
        <c:varyColors val="0"/>
        <c:ser>
          <c:idx val="0"/>
          <c:order val="0"/>
          <c:tx>
            <c:v>Go Hostile</c:v>
          </c:tx>
          <c:spPr>
            <a:ln w="25400">
              <a:solidFill>
                <a:srgbClr val="333399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333399"/>
              </a:solidFill>
              <a:ln>
                <a:solidFill>
                  <a:srgbClr val="333399"/>
                </a:solidFill>
                <a:prstDash val="solid"/>
              </a:ln>
            </c:spPr>
          </c:marker>
          <c:xVal>
            <c:numRef>
              <c:f>'[6]Strategy L14'!$C$32:$C$42</c:f>
              <c:numCache>
                <c:formatCode>General</c:formatCode>
                <c:ptCount val="11"/>
                <c:pt idx="0">
                  <c:v>7.4999999999999997E-2</c:v>
                </c:pt>
                <c:pt idx="1">
                  <c:v>0.08</c:v>
                </c:pt>
                <c:pt idx="2">
                  <c:v>8.4999999999999992E-2</c:v>
                </c:pt>
                <c:pt idx="3">
                  <c:v>0.09</c:v>
                </c:pt>
                <c:pt idx="4">
                  <c:v>9.5000000000000001E-2</c:v>
                </c:pt>
                <c:pt idx="5">
                  <c:v>0.1</c:v>
                </c:pt>
                <c:pt idx="6">
                  <c:v>0.105</c:v>
                </c:pt>
                <c:pt idx="7">
                  <c:v>0.11</c:v>
                </c:pt>
                <c:pt idx="8">
                  <c:v>0.115</c:v>
                </c:pt>
                <c:pt idx="9">
                  <c:v>0.12</c:v>
                </c:pt>
                <c:pt idx="10">
                  <c:v>0.125</c:v>
                </c:pt>
              </c:numCache>
            </c:numRef>
          </c:xVal>
          <c:yVal>
            <c:numRef>
              <c:f>'[6]Strategy L14'!$E$32:$E$42</c:f>
              <c:numCache>
                <c:formatCode>General</c:formatCode>
                <c:ptCount val="11"/>
                <c:pt idx="0">
                  <c:v>4.0632055955800661</c:v>
                </c:pt>
                <c:pt idx="1">
                  <c:v>3.2350352203478843</c:v>
                </c:pt>
                <c:pt idx="2">
                  <c:v>2.5377839094571493</c:v>
                </c:pt>
                <c:pt idx="3">
                  <c:v>1.9432890458230208</c:v>
                </c:pt>
                <c:pt idx="4">
                  <c:v>1.4309021187842876</c:v>
                </c:pt>
                <c:pt idx="5">
                  <c:v>0.98514039086658423</c:v>
                </c:pt>
                <c:pt idx="6">
                  <c:v>0.59416739638170402</c:v>
                </c:pt>
                <c:pt idx="7">
                  <c:v>0.24877994793692509</c:v>
                </c:pt>
                <c:pt idx="8">
                  <c:v>-5.8284957709771476E-2</c:v>
                </c:pt>
                <c:pt idx="9">
                  <c:v>-0.33283529956560542</c:v>
                </c:pt>
                <c:pt idx="10">
                  <c:v>-0.57957056980949107</c:v>
                </c:pt>
              </c:numCache>
            </c:numRef>
          </c:yVal>
          <c:smooth val="0"/>
        </c:ser>
        <c:ser>
          <c:idx val="1"/>
          <c:order val="1"/>
          <c:tx>
            <c:v>Drop Deal</c:v>
          </c:tx>
          <c:spPr>
            <a:ln w="25400">
              <a:solidFill>
                <a:srgbClr val="993366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993366"/>
              </a:solidFill>
              <a:ln>
                <a:solidFill>
                  <a:srgbClr val="993366"/>
                </a:solidFill>
                <a:prstDash val="solid"/>
              </a:ln>
            </c:spPr>
          </c:marker>
          <c:xVal>
            <c:numRef>
              <c:f>'[6]Strategy L14'!$C$32:$C$42</c:f>
              <c:numCache>
                <c:formatCode>General</c:formatCode>
                <c:ptCount val="11"/>
                <c:pt idx="0">
                  <c:v>7.4999999999999997E-2</c:v>
                </c:pt>
                <c:pt idx="1">
                  <c:v>0.08</c:v>
                </c:pt>
                <c:pt idx="2">
                  <c:v>8.4999999999999992E-2</c:v>
                </c:pt>
                <c:pt idx="3">
                  <c:v>0.09</c:v>
                </c:pt>
                <c:pt idx="4">
                  <c:v>9.5000000000000001E-2</c:v>
                </c:pt>
                <c:pt idx="5">
                  <c:v>0.1</c:v>
                </c:pt>
                <c:pt idx="6">
                  <c:v>0.105</c:v>
                </c:pt>
                <c:pt idx="7">
                  <c:v>0.11</c:v>
                </c:pt>
                <c:pt idx="8">
                  <c:v>0.115</c:v>
                </c:pt>
                <c:pt idx="9">
                  <c:v>0.12</c:v>
                </c:pt>
                <c:pt idx="10">
                  <c:v>0.125</c:v>
                </c:pt>
              </c:numCache>
            </c:numRef>
          </c:xVal>
          <c:yVal>
            <c:numRef>
              <c:f>'[6]Strategy L14'!$G$32:$G$42</c:f>
              <c:numCache>
                <c:formatCode>General</c:formatCode>
                <c:ptCount val="11"/>
                <c:pt idx="0">
                  <c:v>-0.36423480258862589</c:v>
                </c:pt>
                <c:pt idx="1">
                  <c:v>-0.32333396657036373</c:v>
                </c:pt>
                <c:pt idx="2">
                  <c:v>-0.28894598925872295</c:v>
                </c:pt>
                <c:pt idx="3">
                  <c:v>-0.25966885207826779</c:v>
                </c:pt>
                <c:pt idx="4">
                  <c:v>-0.23447463787706829</c:v>
                </c:pt>
                <c:pt idx="5">
                  <c:v>-0.21259261467146759</c:v>
                </c:pt>
                <c:pt idx="6">
                  <c:v>-0.19343358439740141</c:v>
                </c:pt>
                <c:pt idx="7">
                  <c:v>-0.17653944914285916</c:v>
                </c:pt>
                <c:pt idx="8">
                  <c:v>-0.16154870419016498</c:v>
                </c:pt>
                <c:pt idx="9">
                  <c:v>-0.14817228346640474</c:v>
                </c:pt>
                <c:pt idx="10">
                  <c:v>-0.13617630658293747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27565568"/>
        <c:axId val="227566720"/>
      </c:scatterChart>
      <c:valAx>
        <c:axId val="227565568"/>
        <c:scaling>
          <c:orientation val="minMax"/>
          <c:max val="0.13"/>
          <c:min val="7.0000000000000007E-2"/>
        </c:scaling>
        <c:delete val="0"/>
        <c:axPos val="b"/>
        <c:title>
          <c:tx>
            <c:rich>
              <a:bodyPr/>
              <a:lstStyle/>
              <a:p>
                <a:pPr>
                  <a:defRPr sz="800" b="0"/>
                </a:pPr>
                <a:r>
                  <a:rPr lang="en-US"/>
                  <a:t>Discount Rate (L14)</a:t>
                </a:r>
              </a:p>
            </c:rich>
          </c:tx>
          <c:layout>
            <c:manualLayout>
              <c:xMode val="edge"/>
              <c:yMode val="edge"/>
              <c:x val="0.33749981602766943"/>
              <c:y val="0.92128175101000731"/>
            </c:manualLayout>
          </c:layout>
          <c:overlay val="0"/>
        </c:title>
        <c:numFmt formatCode="0%" sourceLinked="0"/>
        <c:majorTickMark val="out"/>
        <c:minorTickMark val="none"/>
        <c:tickLblPos val="nextTo"/>
        <c:txPr>
          <a:bodyPr rot="-5400000" vert="horz"/>
          <a:lstStyle/>
          <a:p>
            <a:pPr>
              <a:defRPr sz="800" b="0"/>
            </a:pPr>
            <a:endParaRPr lang="en-US"/>
          </a:p>
        </c:txPr>
        <c:crossAx val="227566720"/>
        <c:crossesAt val="-1.0000000000000001E+300"/>
        <c:crossBetween val="midCat"/>
        <c:majorUnit val="0.01"/>
      </c:valAx>
      <c:valAx>
        <c:axId val="227566720"/>
        <c:scaling>
          <c:orientation val="minMax"/>
          <c:max val="4.5"/>
          <c:min val="-1"/>
        </c:scaling>
        <c:delete val="0"/>
        <c:axPos val="l"/>
        <c:title>
          <c:tx>
            <c:rich>
              <a:bodyPr/>
              <a:lstStyle/>
              <a:p>
                <a:pPr>
                  <a:defRPr sz="800" b="0"/>
                </a:pPr>
                <a:r>
                  <a:rPr lang="en-US"/>
                  <a:t>Expected Value</a:t>
                </a:r>
              </a:p>
            </c:rich>
          </c:tx>
          <c:layout/>
          <c:overlay val="0"/>
        </c:title>
        <c:numFmt formatCode="General" sourceLinked="0"/>
        <c:majorTickMark val="out"/>
        <c:minorTickMark val="none"/>
        <c:tickLblPos val="nextTo"/>
        <c:txPr>
          <a:bodyPr/>
          <a:lstStyle/>
          <a:p>
            <a:pPr>
              <a:defRPr sz="800" b="0"/>
            </a:pPr>
            <a:endParaRPr lang="en-US"/>
          </a:p>
        </c:txPr>
        <c:crossAx val="227565568"/>
        <c:crossesAt val="-1.0000000000000001E+300"/>
        <c:crossBetween val="midCat"/>
        <c:majorUnit val="0.5"/>
      </c:valAx>
    </c:plotArea>
    <c:legend>
      <c:legendPos val="r"/>
      <c:layout/>
      <c:overlay val="0"/>
      <c:spPr>
        <a:ln w="25400">
          <a:noFill/>
        </a:ln>
      </c:spPr>
      <c:txPr>
        <a:bodyPr/>
        <a:lstStyle/>
        <a:p>
          <a:pPr>
            <a:defRPr sz="800"/>
          </a:pPr>
          <a:endParaRPr lang="en-US"/>
        </a:p>
      </c:txPr>
    </c:legend>
    <c:plotVisOnly val="1"/>
    <c:dispBlanksAs val="gap"/>
    <c:showDLblsOverMax val="0"/>
  </c:chart>
  <c:spPr>
    <a:ln w="25400"/>
  </c:spPr>
  <c:printSettings>
    <c:headerFooter/>
    <c:pageMargins b="0.75" l="0.7" r="0.7" t="0.75" header="0.3" footer="0.3"/>
    <c:pageSetup/>
  </c:printSettings>
  <c:userShapes r:id="rId1"/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/>
            </a:pPr>
            <a:r>
              <a:rPr lang="en-US"/>
              <a:t>Strategy Region of Decision Tree 'Hostile Acq?'</a:t>
            </a:r>
            <a:r>
              <a:rPr lang="en-US" sz="800" b="0" i="0" u="none" strike="noStrike" baseline="0">
                <a:solidFill>
                  <a:srgbClr val="000000"/>
                </a:solidFill>
                <a:latin typeface="+mn-lt"/>
                <a:ea typeface="+mn-lt"/>
                <a:cs typeface="+mn-lt"/>
              </a:rPr>
              <a:t>
Expected Value of Node 'Hostile?' (C18)
With Variation of P(Deal Closes) (L18) </a:t>
            </a:r>
            <a:endParaRPr lang="en-US"/>
          </a:p>
        </c:rich>
      </c:tx>
      <c:layout/>
      <c:overlay val="0"/>
    </c:title>
    <c:autoTitleDeleted val="0"/>
    <c:plotArea>
      <c:layout>
        <c:manualLayout>
          <c:xMode val="edge"/>
          <c:yMode val="edge"/>
          <c:x val="2.5700934579439252E-2"/>
          <c:y val="0.17946339847631665"/>
          <c:w val="0.78565383766281549"/>
          <c:h val="0.7252565771113656"/>
        </c:manualLayout>
      </c:layout>
      <c:scatterChart>
        <c:scatterStyle val="lineMarker"/>
        <c:varyColors val="0"/>
        <c:ser>
          <c:idx val="0"/>
          <c:order val="0"/>
          <c:tx>
            <c:v>Go Hostile</c:v>
          </c:tx>
          <c:spPr>
            <a:ln w="25400">
              <a:solidFill>
                <a:srgbClr val="333399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333399"/>
              </a:solidFill>
              <a:ln>
                <a:solidFill>
                  <a:srgbClr val="333399"/>
                </a:solidFill>
                <a:prstDash val="solid"/>
              </a:ln>
            </c:spPr>
          </c:marker>
          <c:xVal>
            <c:numRef>
              <c:f>'[6]Strategy L18'!$C$32:$C$42</c:f>
              <c:numCache>
                <c:formatCode>General</c:formatCode>
                <c:ptCount val="11"/>
                <c:pt idx="0">
                  <c:v>0.44999999999999996</c:v>
                </c:pt>
                <c:pt idx="1">
                  <c:v>0.48</c:v>
                </c:pt>
                <c:pt idx="2">
                  <c:v>0.51</c:v>
                </c:pt>
                <c:pt idx="3">
                  <c:v>0.53999999999999992</c:v>
                </c:pt>
                <c:pt idx="4">
                  <c:v>0.56999999999999995</c:v>
                </c:pt>
                <c:pt idx="5">
                  <c:v>0.6</c:v>
                </c:pt>
                <c:pt idx="6">
                  <c:v>0.63</c:v>
                </c:pt>
                <c:pt idx="7">
                  <c:v>0.66</c:v>
                </c:pt>
                <c:pt idx="8">
                  <c:v>0.69</c:v>
                </c:pt>
                <c:pt idx="9">
                  <c:v>0.72</c:v>
                </c:pt>
                <c:pt idx="10">
                  <c:v>0.75</c:v>
                </c:pt>
              </c:numCache>
            </c:numRef>
          </c:xVal>
          <c:yVal>
            <c:numRef>
              <c:f>'[6]Strategy L18'!$E$32:$E$42</c:f>
              <c:numCache>
                <c:formatCode>General</c:formatCode>
                <c:ptCount val="11"/>
                <c:pt idx="0">
                  <c:v>-1.5892928605179293</c:v>
                </c:pt>
                <c:pt idx="1">
                  <c:v>-1.0744062102410261</c:v>
                </c:pt>
                <c:pt idx="2">
                  <c:v>-0.55951955996412317</c:v>
                </c:pt>
                <c:pt idx="3">
                  <c:v>-4.4632909687221944E-2</c:v>
                </c:pt>
                <c:pt idx="4">
                  <c:v>0.47025374058968111</c:v>
                </c:pt>
                <c:pt idx="5">
                  <c:v>0.98514039086658423</c:v>
                </c:pt>
                <c:pt idx="6">
                  <c:v>1.5000270411434873</c:v>
                </c:pt>
                <c:pt idx="7">
                  <c:v>2.0149136914203902</c:v>
                </c:pt>
                <c:pt idx="8">
                  <c:v>2.5298003416972916</c:v>
                </c:pt>
                <c:pt idx="9">
                  <c:v>3.0446869919741948</c:v>
                </c:pt>
                <c:pt idx="10">
                  <c:v>3.559573642251098</c:v>
                </c:pt>
              </c:numCache>
            </c:numRef>
          </c:yVal>
          <c:smooth val="0"/>
        </c:ser>
        <c:ser>
          <c:idx val="1"/>
          <c:order val="1"/>
          <c:tx>
            <c:v>Drop Deal</c:v>
          </c:tx>
          <c:spPr>
            <a:ln w="25400">
              <a:solidFill>
                <a:srgbClr val="993366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993366"/>
              </a:solidFill>
              <a:ln>
                <a:solidFill>
                  <a:srgbClr val="993366"/>
                </a:solidFill>
                <a:prstDash val="solid"/>
              </a:ln>
            </c:spPr>
          </c:marker>
          <c:xVal>
            <c:numRef>
              <c:f>'[6]Strategy L18'!$C$32:$C$42</c:f>
              <c:numCache>
                <c:formatCode>General</c:formatCode>
                <c:ptCount val="11"/>
                <c:pt idx="0">
                  <c:v>0.44999999999999996</c:v>
                </c:pt>
                <c:pt idx="1">
                  <c:v>0.48</c:v>
                </c:pt>
                <c:pt idx="2">
                  <c:v>0.51</c:v>
                </c:pt>
                <c:pt idx="3">
                  <c:v>0.53999999999999992</c:v>
                </c:pt>
                <c:pt idx="4">
                  <c:v>0.56999999999999995</c:v>
                </c:pt>
                <c:pt idx="5">
                  <c:v>0.6</c:v>
                </c:pt>
                <c:pt idx="6">
                  <c:v>0.63</c:v>
                </c:pt>
                <c:pt idx="7">
                  <c:v>0.66</c:v>
                </c:pt>
                <c:pt idx="8">
                  <c:v>0.69</c:v>
                </c:pt>
                <c:pt idx="9">
                  <c:v>0.72</c:v>
                </c:pt>
                <c:pt idx="10">
                  <c:v>0.75</c:v>
                </c:pt>
              </c:numCache>
            </c:numRef>
          </c:xVal>
          <c:yVal>
            <c:numRef>
              <c:f>'[6]Strategy L18'!$G$32:$G$42</c:f>
              <c:numCache>
                <c:formatCode>General</c:formatCode>
                <c:ptCount val="11"/>
                <c:pt idx="0">
                  <c:v>-0.21259261467146759</c:v>
                </c:pt>
                <c:pt idx="1">
                  <c:v>-0.21259261467146759</c:v>
                </c:pt>
                <c:pt idx="2">
                  <c:v>-0.21259261467146759</c:v>
                </c:pt>
                <c:pt idx="3">
                  <c:v>-0.21259261467146759</c:v>
                </c:pt>
                <c:pt idx="4">
                  <c:v>-0.21259261467146759</c:v>
                </c:pt>
                <c:pt idx="5">
                  <c:v>-0.21259261467146759</c:v>
                </c:pt>
                <c:pt idx="6">
                  <c:v>-0.21259261467146759</c:v>
                </c:pt>
                <c:pt idx="7">
                  <c:v>-0.21259261467146759</c:v>
                </c:pt>
                <c:pt idx="8">
                  <c:v>-0.21259261467146759</c:v>
                </c:pt>
                <c:pt idx="9">
                  <c:v>-0.21259261467146759</c:v>
                </c:pt>
                <c:pt idx="10">
                  <c:v>-0.21259261467146759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8525568"/>
        <c:axId val="58974592"/>
      </c:scatterChart>
      <c:valAx>
        <c:axId val="58525568"/>
        <c:scaling>
          <c:orientation val="minMax"/>
          <c:max val="0.8"/>
          <c:min val="0.4"/>
        </c:scaling>
        <c:delete val="0"/>
        <c:axPos val="b"/>
        <c:title>
          <c:tx>
            <c:rich>
              <a:bodyPr/>
              <a:lstStyle/>
              <a:p>
                <a:pPr>
                  <a:defRPr sz="800" b="0"/>
                </a:pPr>
                <a:r>
                  <a:rPr lang="en-US"/>
                  <a:t>P(Deal Closes) (L18)</a:t>
                </a:r>
              </a:p>
            </c:rich>
          </c:tx>
          <c:layout>
            <c:manualLayout>
              <c:xMode val="edge"/>
              <c:yMode val="edge"/>
              <c:x val="0.33668776216057106"/>
              <c:y val="0.92128175101000731"/>
            </c:manualLayout>
          </c:layout>
          <c:overlay val="0"/>
        </c:title>
        <c:numFmt formatCode="0%" sourceLinked="0"/>
        <c:majorTickMark val="out"/>
        <c:minorTickMark val="none"/>
        <c:tickLblPos val="nextTo"/>
        <c:txPr>
          <a:bodyPr rot="-5400000" vert="horz"/>
          <a:lstStyle/>
          <a:p>
            <a:pPr>
              <a:defRPr sz="800" b="0"/>
            </a:pPr>
            <a:endParaRPr lang="en-US"/>
          </a:p>
        </c:txPr>
        <c:crossAx val="58974592"/>
        <c:crossesAt val="-1.0000000000000001E+300"/>
        <c:crossBetween val="midCat"/>
        <c:majorUnit val="0.05"/>
      </c:valAx>
      <c:valAx>
        <c:axId val="58974592"/>
        <c:scaling>
          <c:orientation val="minMax"/>
          <c:max val="4"/>
          <c:min val="-2"/>
        </c:scaling>
        <c:delete val="0"/>
        <c:axPos val="l"/>
        <c:title>
          <c:tx>
            <c:rich>
              <a:bodyPr/>
              <a:lstStyle/>
              <a:p>
                <a:pPr>
                  <a:defRPr sz="800" b="0"/>
                </a:pPr>
                <a:r>
                  <a:rPr lang="en-US"/>
                  <a:t>Expected Value</a:t>
                </a:r>
              </a:p>
            </c:rich>
          </c:tx>
          <c:layout/>
          <c:overlay val="0"/>
        </c:title>
        <c:numFmt formatCode="General" sourceLinked="0"/>
        <c:majorTickMark val="out"/>
        <c:minorTickMark val="none"/>
        <c:tickLblPos val="nextTo"/>
        <c:txPr>
          <a:bodyPr/>
          <a:lstStyle/>
          <a:p>
            <a:pPr>
              <a:defRPr sz="800" b="0"/>
            </a:pPr>
            <a:endParaRPr lang="en-US"/>
          </a:p>
        </c:txPr>
        <c:crossAx val="58525568"/>
        <c:crossesAt val="-1.0000000000000001E+300"/>
        <c:crossBetween val="midCat"/>
        <c:majorUnit val="1"/>
      </c:valAx>
    </c:plotArea>
    <c:legend>
      <c:legendPos val="r"/>
      <c:layout/>
      <c:overlay val="0"/>
      <c:spPr>
        <a:ln w="25400">
          <a:noFill/>
        </a:ln>
      </c:spPr>
      <c:txPr>
        <a:bodyPr/>
        <a:lstStyle/>
        <a:p>
          <a:pPr>
            <a:defRPr sz="800"/>
          </a:pPr>
          <a:endParaRPr lang="en-US"/>
        </a:p>
      </c:txPr>
    </c:legend>
    <c:plotVisOnly val="1"/>
    <c:dispBlanksAs val="gap"/>
    <c:showDLblsOverMax val="0"/>
  </c:chart>
  <c:spPr>
    <a:ln w="25400"/>
  </c:spPr>
  <c:printSettings>
    <c:headerFooter/>
    <c:pageMargins b="0.75" l="0.7" r="0.7" t="0.75" header="0.3" footer="0.3"/>
    <c:pageSetup/>
  </c:printSettings>
  <c:userShapes r:id="rId1"/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/>
            </a:pPr>
            <a:r>
              <a:rPr lang="en-US"/>
              <a:t>Strategy Region of Decision Tree 'Hostile Acq?'</a:t>
            </a:r>
            <a:r>
              <a:rPr lang="en-US" sz="800" b="0" i="0" u="none" strike="noStrike" baseline="0">
                <a:solidFill>
                  <a:srgbClr val="000000"/>
                </a:solidFill>
                <a:latin typeface="+mn-lt"/>
                <a:ea typeface="+mn-lt"/>
                <a:cs typeface="+mn-lt"/>
              </a:rPr>
              <a:t>
Expected Value of Node 'Hostile?' (C18)
With Variation of P(DG Creates Value) (L19) </a:t>
            </a:r>
            <a:endParaRPr lang="en-US"/>
          </a:p>
        </c:rich>
      </c:tx>
      <c:layout/>
      <c:overlay val="0"/>
    </c:title>
    <c:autoTitleDeleted val="0"/>
    <c:plotArea>
      <c:layout>
        <c:manualLayout>
          <c:xMode val="edge"/>
          <c:yMode val="edge"/>
          <c:x val="2.5700934579439252E-2"/>
          <c:y val="0.17946339847631665"/>
          <c:w val="0.78565383766281549"/>
          <c:h val="0.7252565771113656"/>
        </c:manualLayout>
      </c:layout>
      <c:scatterChart>
        <c:scatterStyle val="lineMarker"/>
        <c:varyColors val="0"/>
        <c:ser>
          <c:idx val="0"/>
          <c:order val="0"/>
          <c:tx>
            <c:v>Go Hostile</c:v>
          </c:tx>
          <c:spPr>
            <a:ln w="25400">
              <a:solidFill>
                <a:srgbClr val="333399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333399"/>
              </a:solidFill>
              <a:ln>
                <a:solidFill>
                  <a:srgbClr val="333399"/>
                </a:solidFill>
                <a:prstDash val="solid"/>
              </a:ln>
            </c:spPr>
          </c:marker>
          <c:xVal>
            <c:numRef>
              <c:f>'[6]Strategy L19'!$C$32:$C$42</c:f>
              <c:numCache>
                <c:formatCode>General</c:formatCode>
                <c:ptCount val="11"/>
                <c:pt idx="0">
                  <c:v>0.3</c:v>
                </c:pt>
                <c:pt idx="1">
                  <c:v>0.32</c:v>
                </c:pt>
                <c:pt idx="2">
                  <c:v>0.33999999999999997</c:v>
                </c:pt>
                <c:pt idx="3">
                  <c:v>0.36</c:v>
                </c:pt>
                <c:pt idx="4">
                  <c:v>0.38</c:v>
                </c:pt>
                <c:pt idx="5">
                  <c:v>0.4</c:v>
                </c:pt>
                <c:pt idx="6">
                  <c:v>0.42</c:v>
                </c:pt>
                <c:pt idx="7">
                  <c:v>0.44</c:v>
                </c:pt>
                <c:pt idx="8">
                  <c:v>0.46</c:v>
                </c:pt>
                <c:pt idx="9">
                  <c:v>0.48</c:v>
                </c:pt>
                <c:pt idx="10">
                  <c:v>0.5</c:v>
                </c:pt>
              </c:numCache>
            </c:numRef>
          </c:xVal>
          <c:yVal>
            <c:numRef>
              <c:f>'[6]Strategy L19'!$E$32:$E$42</c:f>
              <c:numCache>
                <c:formatCode>General</c:formatCode>
                <c:ptCount val="11"/>
                <c:pt idx="0">
                  <c:v>-0.51587931153147026</c:v>
                </c:pt>
                <c:pt idx="1">
                  <c:v>-0.21567537105185916</c:v>
                </c:pt>
                <c:pt idx="2">
                  <c:v>8.4528569427750902E-2</c:v>
                </c:pt>
                <c:pt idx="3">
                  <c:v>0.38473250990736202</c:v>
                </c:pt>
                <c:pt idx="4">
                  <c:v>0.68493645038697315</c:v>
                </c:pt>
                <c:pt idx="5">
                  <c:v>0.98514039086658423</c:v>
                </c:pt>
                <c:pt idx="6">
                  <c:v>1.2853443313461936</c:v>
                </c:pt>
                <c:pt idx="7">
                  <c:v>1.5855482718258049</c:v>
                </c:pt>
                <c:pt idx="8">
                  <c:v>1.885752212305416</c:v>
                </c:pt>
                <c:pt idx="9">
                  <c:v>2.1859561527850269</c:v>
                </c:pt>
                <c:pt idx="10">
                  <c:v>2.4861600932646373</c:v>
                </c:pt>
              </c:numCache>
            </c:numRef>
          </c:yVal>
          <c:smooth val="0"/>
        </c:ser>
        <c:ser>
          <c:idx val="1"/>
          <c:order val="1"/>
          <c:tx>
            <c:v>Drop Deal</c:v>
          </c:tx>
          <c:spPr>
            <a:ln w="25400">
              <a:solidFill>
                <a:srgbClr val="993366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993366"/>
              </a:solidFill>
              <a:ln>
                <a:solidFill>
                  <a:srgbClr val="993366"/>
                </a:solidFill>
                <a:prstDash val="solid"/>
              </a:ln>
            </c:spPr>
          </c:marker>
          <c:xVal>
            <c:numRef>
              <c:f>'[6]Strategy L19'!$C$32:$C$42</c:f>
              <c:numCache>
                <c:formatCode>General</c:formatCode>
                <c:ptCount val="11"/>
                <c:pt idx="0">
                  <c:v>0.3</c:v>
                </c:pt>
                <c:pt idx="1">
                  <c:v>0.32</c:v>
                </c:pt>
                <c:pt idx="2">
                  <c:v>0.33999999999999997</c:v>
                </c:pt>
                <c:pt idx="3">
                  <c:v>0.36</c:v>
                </c:pt>
                <c:pt idx="4">
                  <c:v>0.38</c:v>
                </c:pt>
                <c:pt idx="5">
                  <c:v>0.4</c:v>
                </c:pt>
                <c:pt idx="6">
                  <c:v>0.42</c:v>
                </c:pt>
                <c:pt idx="7">
                  <c:v>0.44</c:v>
                </c:pt>
                <c:pt idx="8">
                  <c:v>0.46</c:v>
                </c:pt>
                <c:pt idx="9">
                  <c:v>0.48</c:v>
                </c:pt>
                <c:pt idx="10">
                  <c:v>0.5</c:v>
                </c:pt>
              </c:numCache>
            </c:numRef>
          </c:xVal>
          <c:yVal>
            <c:numRef>
              <c:f>'[6]Strategy L19'!$G$32:$G$42</c:f>
              <c:numCache>
                <c:formatCode>General</c:formatCode>
                <c:ptCount val="11"/>
                <c:pt idx="0">
                  <c:v>-0.21259261467146759</c:v>
                </c:pt>
                <c:pt idx="1">
                  <c:v>-0.21259261467146759</c:v>
                </c:pt>
                <c:pt idx="2">
                  <c:v>-0.21259261467146759</c:v>
                </c:pt>
                <c:pt idx="3">
                  <c:v>-0.21259261467146759</c:v>
                </c:pt>
                <c:pt idx="4">
                  <c:v>-0.21259261467146759</c:v>
                </c:pt>
                <c:pt idx="5">
                  <c:v>-0.21259261467146759</c:v>
                </c:pt>
                <c:pt idx="6">
                  <c:v>-0.21259261467146759</c:v>
                </c:pt>
                <c:pt idx="7">
                  <c:v>-0.21259261467146759</c:v>
                </c:pt>
                <c:pt idx="8">
                  <c:v>-0.21259261467146759</c:v>
                </c:pt>
                <c:pt idx="9">
                  <c:v>-0.21259261467146759</c:v>
                </c:pt>
                <c:pt idx="10">
                  <c:v>-0.21259261467146759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0061952"/>
        <c:axId val="41321216"/>
      </c:scatterChart>
      <c:valAx>
        <c:axId val="40061952"/>
        <c:scaling>
          <c:orientation val="minMax"/>
          <c:max val="0.55000000000000004"/>
          <c:min val="0.25"/>
        </c:scaling>
        <c:delete val="0"/>
        <c:axPos val="b"/>
        <c:title>
          <c:tx>
            <c:rich>
              <a:bodyPr/>
              <a:lstStyle/>
              <a:p>
                <a:pPr>
                  <a:defRPr sz="800" b="0"/>
                </a:pPr>
                <a:r>
                  <a:rPr lang="en-US"/>
                  <a:t>P(DG Creates Value) (L19)</a:t>
                </a:r>
              </a:p>
            </c:rich>
          </c:tx>
          <c:layout>
            <c:manualLayout>
              <c:xMode val="edge"/>
              <c:yMode val="edge"/>
              <c:x val="0.31367963058356024"/>
              <c:y val="0.92128175101000731"/>
            </c:manualLayout>
          </c:layout>
          <c:overlay val="0"/>
        </c:title>
        <c:numFmt formatCode="0%" sourceLinked="0"/>
        <c:majorTickMark val="out"/>
        <c:minorTickMark val="none"/>
        <c:tickLblPos val="nextTo"/>
        <c:txPr>
          <a:bodyPr rot="-5400000" vert="horz"/>
          <a:lstStyle/>
          <a:p>
            <a:pPr>
              <a:defRPr sz="800" b="0"/>
            </a:pPr>
            <a:endParaRPr lang="en-US"/>
          </a:p>
        </c:txPr>
        <c:crossAx val="41321216"/>
        <c:crossesAt val="-1.0000000000000001E+300"/>
        <c:crossBetween val="midCat"/>
        <c:majorUnit val="5.000000000000001E-2"/>
      </c:valAx>
      <c:valAx>
        <c:axId val="41321216"/>
        <c:scaling>
          <c:orientation val="minMax"/>
          <c:max val="3"/>
          <c:min val="-1"/>
        </c:scaling>
        <c:delete val="0"/>
        <c:axPos val="l"/>
        <c:title>
          <c:tx>
            <c:rich>
              <a:bodyPr/>
              <a:lstStyle/>
              <a:p>
                <a:pPr>
                  <a:defRPr sz="800" b="0"/>
                </a:pPr>
                <a:r>
                  <a:rPr lang="en-US"/>
                  <a:t>Expected Value</a:t>
                </a:r>
              </a:p>
            </c:rich>
          </c:tx>
          <c:layout/>
          <c:overlay val="0"/>
        </c:title>
        <c:numFmt formatCode="General" sourceLinked="0"/>
        <c:majorTickMark val="out"/>
        <c:minorTickMark val="none"/>
        <c:tickLblPos val="nextTo"/>
        <c:txPr>
          <a:bodyPr/>
          <a:lstStyle/>
          <a:p>
            <a:pPr>
              <a:defRPr sz="800" b="0"/>
            </a:pPr>
            <a:endParaRPr lang="en-US"/>
          </a:p>
        </c:txPr>
        <c:crossAx val="40061952"/>
        <c:crossesAt val="-1.0000000000000001E+300"/>
        <c:crossBetween val="midCat"/>
        <c:majorUnit val="0.5"/>
      </c:valAx>
    </c:plotArea>
    <c:legend>
      <c:legendPos val="r"/>
      <c:layout/>
      <c:overlay val="0"/>
      <c:spPr>
        <a:ln w="25400">
          <a:noFill/>
        </a:ln>
      </c:spPr>
      <c:txPr>
        <a:bodyPr/>
        <a:lstStyle/>
        <a:p>
          <a:pPr>
            <a:defRPr sz="800"/>
          </a:pPr>
          <a:endParaRPr lang="en-US"/>
        </a:p>
      </c:txPr>
    </c:legend>
    <c:plotVisOnly val="1"/>
    <c:dispBlanksAs val="gap"/>
    <c:showDLblsOverMax val="0"/>
  </c:chart>
  <c:spPr>
    <a:ln w="25400"/>
  </c:spPr>
  <c:printSettings>
    <c:headerFooter/>
    <c:pageMargins b="0.75" l="0.7" r="0.7" t="0.75" header="0.3" footer="0.3"/>
    <c:pageSetup/>
  </c:printSettings>
  <c:userShapes r:id="rId1"/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/>
            </a:pPr>
            <a:r>
              <a:rPr lang="en-US"/>
              <a:t>Strategy Region of Decision Tree 'Hostile Acq?'</a:t>
            </a:r>
            <a:r>
              <a:rPr lang="en-US" sz="800" b="0" i="0" u="none" strike="noStrike" baseline="0">
                <a:solidFill>
                  <a:srgbClr val="000000"/>
                </a:solidFill>
                <a:latin typeface="+mn-lt"/>
                <a:ea typeface="+mn-lt"/>
                <a:cs typeface="+mn-lt"/>
              </a:rPr>
              <a:t>
Expected Value of Node 'Hostile?' (C18)
With Variation of P(DT creates Value) (L20) </a:t>
            </a:r>
            <a:endParaRPr lang="en-US"/>
          </a:p>
        </c:rich>
      </c:tx>
      <c:layout/>
      <c:overlay val="0"/>
    </c:title>
    <c:autoTitleDeleted val="0"/>
    <c:plotArea>
      <c:layout>
        <c:manualLayout>
          <c:xMode val="edge"/>
          <c:yMode val="edge"/>
          <c:x val="2.5700934579439252E-2"/>
          <c:y val="0.17946339847631665"/>
          <c:w val="0.78565383766281549"/>
          <c:h val="0.7252565771113656"/>
        </c:manualLayout>
      </c:layout>
      <c:scatterChart>
        <c:scatterStyle val="lineMarker"/>
        <c:varyColors val="0"/>
        <c:ser>
          <c:idx val="0"/>
          <c:order val="0"/>
          <c:tx>
            <c:v>Go Hostile</c:v>
          </c:tx>
          <c:spPr>
            <a:ln w="25400">
              <a:solidFill>
                <a:srgbClr val="333399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333399"/>
              </a:solidFill>
              <a:ln>
                <a:solidFill>
                  <a:srgbClr val="333399"/>
                </a:solidFill>
                <a:prstDash val="solid"/>
              </a:ln>
            </c:spPr>
          </c:marker>
          <c:xVal>
            <c:numRef>
              <c:f>'[6]Strategy L20'!$C$32:$C$42</c:f>
              <c:numCache>
                <c:formatCode>General</c:formatCode>
                <c:ptCount val="11"/>
                <c:pt idx="0">
                  <c:v>0.44999999999999996</c:v>
                </c:pt>
                <c:pt idx="1">
                  <c:v>0.48</c:v>
                </c:pt>
                <c:pt idx="2">
                  <c:v>0.51</c:v>
                </c:pt>
                <c:pt idx="3">
                  <c:v>0.53999999999999992</c:v>
                </c:pt>
                <c:pt idx="4">
                  <c:v>0.56999999999999995</c:v>
                </c:pt>
                <c:pt idx="5">
                  <c:v>0.6</c:v>
                </c:pt>
                <c:pt idx="6">
                  <c:v>0.63</c:v>
                </c:pt>
                <c:pt idx="7">
                  <c:v>0.66</c:v>
                </c:pt>
                <c:pt idx="8">
                  <c:v>0.69</c:v>
                </c:pt>
                <c:pt idx="9">
                  <c:v>0.72</c:v>
                </c:pt>
                <c:pt idx="10">
                  <c:v>0.75</c:v>
                </c:pt>
              </c:numCache>
            </c:numRef>
          </c:xVal>
          <c:yVal>
            <c:numRef>
              <c:f>'[6]Strategy L20'!$E$32:$E$42</c:f>
              <c:numCache>
                <c:formatCode>General</c:formatCode>
                <c:ptCount val="11"/>
                <c:pt idx="0">
                  <c:v>1.021964675214682</c:v>
                </c:pt>
                <c:pt idx="1">
                  <c:v>1.0145998183450626</c:v>
                </c:pt>
                <c:pt idx="2">
                  <c:v>1.0072349614754428</c:v>
                </c:pt>
                <c:pt idx="3">
                  <c:v>0.99987010460582348</c:v>
                </c:pt>
                <c:pt idx="4">
                  <c:v>0.99250524773620419</c:v>
                </c:pt>
                <c:pt idx="5">
                  <c:v>0.98514039086658423</c:v>
                </c:pt>
                <c:pt idx="6">
                  <c:v>0.97777553399696493</c:v>
                </c:pt>
                <c:pt idx="7">
                  <c:v>0.97041067712734563</c:v>
                </c:pt>
                <c:pt idx="8">
                  <c:v>0.96304582025772567</c:v>
                </c:pt>
                <c:pt idx="9">
                  <c:v>0.95568096338810637</c:v>
                </c:pt>
                <c:pt idx="10">
                  <c:v>0.94831610651848719</c:v>
                </c:pt>
              </c:numCache>
            </c:numRef>
          </c:yVal>
          <c:smooth val="0"/>
        </c:ser>
        <c:ser>
          <c:idx val="1"/>
          <c:order val="1"/>
          <c:tx>
            <c:v>Drop Deal</c:v>
          </c:tx>
          <c:spPr>
            <a:ln w="25400">
              <a:solidFill>
                <a:srgbClr val="993366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993366"/>
              </a:solidFill>
              <a:ln>
                <a:solidFill>
                  <a:srgbClr val="993366"/>
                </a:solidFill>
                <a:prstDash val="solid"/>
              </a:ln>
            </c:spPr>
          </c:marker>
          <c:xVal>
            <c:numRef>
              <c:f>'[6]Strategy L20'!$C$32:$C$42</c:f>
              <c:numCache>
                <c:formatCode>General</c:formatCode>
                <c:ptCount val="11"/>
                <c:pt idx="0">
                  <c:v>0.44999999999999996</c:v>
                </c:pt>
                <c:pt idx="1">
                  <c:v>0.48</c:v>
                </c:pt>
                <c:pt idx="2">
                  <c:v>0.51</c:v>
                </c:pt>
                <c:pt idx="3">
                  <c:v>0.53999999999999992</c:v>
                </c:pt>
                <c:pt idx="4">
                  <c:v>0.56999999999999995</c:v>
                </c:pt>
                <c:pt idx="5">
                  <c:v>0.6</c:v>
                </c:pt>
                <c:pt idx="6">
                  <c:v>0.63</c:v>
                </c:pt>
                <c:pt idx="7">
                  <c:v>0.66</c:v>
                </c:pt>
                <c:pt idx="8">
                  <c:v>0.69</c:v>
                </c:pt>
                <c:pt idx="9">
                  <c:v>0.72</c:v>
                </c:pt>
                <c:pt idx="10">
                  <c:v>0.75</c:v>
                </c:pt>
              </c:numCache>
            </c:numRef>
          </c:xVal>
          <c:yVal>
            <c:numRef>
              <c:f>'[6]Strategy L20'!$G$32:$G$42</c:f>
              <c:numCache>
                <c:formatCode>General</c:formatCode>
                <c:ptCount val="11"/>
                <c:pt idx="0">
                  <c:v>-0.12053190380122379</c:v>
                </c:pt>
                <c:pt idx="1">
                  <c:v>-0.13894404597527257</c:v>
                </c:pt>
                <c:pt idx="2">
                  <c:v>-0.15735618814932134</c:v>
                </c:pt>
                <c:pt idx="3">
                  <c:v>-0.17576833032337005</c:v>
                </c:pt>
                <c:pt idx="4">
                  <c:v>-0.19418047249741882</c:v>
                </c:pt>
                <c:pt idx="5">
                  <c:v>-0.21259261467146759</c:v>
                </c:pt>
                <c:pt idx="6">
                  <c:v>-0.23100475684551636</c:v>
                </c:pt>
                <c:pt idx="7">
                  <c:v>-0.24941689901956512</c:v>
                </c:pt>
                <c:pt idx="8">
                  <c:v>-0.26782904119361384</c:v>
                </c:pt>
                <c:pt idx="9">
                  <c:v>-0.28624118336766263</c:v>
                </c:pt>
                <c:pt idx="10">
                  <c:v>-0.30465332554171137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8546432"/>
        <c:axId val="71918336"/>
      </c:scatterChart>
      <c:valAx>
        <c:axId val="58546432"/>
        <c:scaling>
          <c:orientation val="minMax"/>
          <c:max val="0.8"/>
          <c:min val="0.4"/>
        </c:scaling>
        <c:delete val="0"/>
        <c:axPos val="b"/>
        <c:title>
          <c:tx>
            <c:rich>
              <a:bodyPr/>
              <a:lstStyle/>
              <a:p>
                <a:pPr>
                  <a:defRPr sz="800" b="0"/>
                </a:pPr>
                <a:r>
                  <a:rPr lang="en-US"/>
                  <a:t>P(DT creates Value) (L20)</a:t>
                </a:r>
              </a:p>
            </c:rich>
          </c:tx>
          <c:layout>
            <c:manualLayout>
              <c:xMode val="edge"/>
              <c:yMode val="edge"/>
              <c:x val="0.31604533078225033"/>
              <c:y val="0.92128175101000731"/>
            </c:manualLayout>
          </c:layout>
          <c:overlay val="0"/>
        </c:title>
        <c:numFmt formatCode="0%" sourceLinked="0"/>
        <c:majorTickMark val="out"/>
        <c:minorTickMark val="none"/>
        <c:tickLblPos val="nextTo"/>
        <c:txPr>
          <a:bodyPr rot="-5400000" vert="horz"/>
          <a:lstStyle/>
          <a:p>
            <a:pPr>
              <a:defRPr sz="800" b="0"/>
            </a:pPr>
            <a:endParaRPr lang="en-US"/>
          </a:p>
        </c:txPr>
        <c:crossAx val="71918336"/>
        <c:crossesAt val="-1.0000000000000001E+300"/>
        <c:crossBetween val="midCat"/>
        <c:majorUnit val="0.05"/>
      </c:valAx>
      <c:valAx>
        <c:axId val="71918336"/>
        <c:scaling>
          <c:orientation val="minMax"/>
          <c:max val="1.2"/>
          <c:min val="-0.4"/>
        </c:scaling>
        <c:delete val="0"/>
        <c:axPos val="l"/>
        <c:title>
          <c:tx>
            <c:rich>
              <a:bodyPr/>
              <a:lstStyle/>
              <a:p>
                <a:pPr>
                  <a:defRPr sz="800" b="0"/>
                </a:pPr>
                <a:r>
                  <a:rPr lang="en-US"/>
                  <a:t>Expected Value</a:t>
                </a:r>
              </a:p>
            </c:rich>
          </c:tx>
          <c:layout/>
          <c:overlay val="0"/>
        </c:title>
        <c:numFmt formatCode="General" sourceLinked="0"/>
        <c:majorTickMark val="out"/>
        <c:minorTickMark val="none"/>
        <c:tickLblPos val="nextTo"/>
        <c:txPr>
          <a:bodyPr/>
          <a:lstStyle/>
          <a:p>
            <a:pPr>
              <a:defRPr sz="800" b="0"/>
            </a:pPr>
            <a:endParaRPr lang="en-US"/>
          </a:p>
        </c:txPr>
        <c:crossAx val="58546432"/>
        <c:crossesAt val="-1.0000000000000001E+300"/>
        <c:crossBetween val="midCat"/>
        <c:majorUnit val="0.2"/>
      </c:valAx>
    </c:plotArea>
    <c:legend>
      <c:legendPos val="r"/>
      <c:layout/>
      <c:overlay val="0"/>
      <c:spPr>
        <a:ln w="25400">
          <a:noFill/>
        </a:ln>
      </c:spPr>
      <c:txPr>
        <a:bodyPr/>
        <a:lstStyle/>
        <a:p>
          <a:pPr>
            <a:defRPr sz="800"/>
          </a:pPr>
          <a:endParaRPr lang="en-US"/>
        </a:p>
      </c:txPr>
    </c:legend>
    <c:plotVisOnly val="1"/>
    <c:dispBlanksAs val="gap"/>
    <c:showDLblsOverMax val="0"/>
  </c:chart>
  <c:spPr>
    <a:ln w="25400"/>
  </c:spPr>
  <c:printSettings>
    <c:headerFooter/>
    <c:pageMargins b="0.75" l="0.7" r="0.7" t="0.75" header="0.3" footer="0.3"/>
    <c:pageSetup/>
  </c:printSettings>
  <c:userShapes r:id="rId1"/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/>
            </a:pPr>
            <a:r>
              <a:rPr lang="en-US"/>
              <a:t>Strategy Region of Decision Tree 'Hostile Acq?'</a:t>
            </a:r>
            <a:r>
              <a:rPr lang="en-US" sz="800" b="0" i="0" u="none" strike="noStrike" baseline="0">
                <a:solidFill>
                  <a:srgbClr val="000000"/>
                </a:solidFill>
                <a:latin typeface="+mn-lt"/>
                <a:ea typeface="+mn-lt"/>
                <a:cs typeface="+mn-lt"/>
              </a:rPr>
              <a:t>
Expected Value of Node 'Hostile?' (C18)
With Variation of Cost of DT being strong (L13) </a:t>
            </a:r>
            <a:endParaRPr lang="en-US"/>
          </a:p>
        </c:rich>
      </c:tx>
      <c:layout/>
      <c:overlay val="0"/>
    </c:title>
    <c:autoTitleDeleted val="0"/>
    <c:plotArea>
      <c:layout>
        <c:manualLayout>
          <c:xMode val="edge"/>
          <c:yMode val="edge"/>
          <c:x val="2.5700934579439252E-2"/>
          <c:y val="0.17946339847631665"/>
          <c:w val="0.78565383766281549"/>
          <c:h val="0.7252565771113656"/>
        </c:manualLayout>
      </c:layout>
      <c:scatterChart>
        <c:scatterStyle val="lineMarker"/>
        <c:varyColors val="0"/>
        <c:ser>
          <c:idx val="0"/>
          <c:order val="0"/>
          <c:tx>
            <c:v>Go Hostile</c:v>
          </c:tx>
          <c:spPr>
            <a:ln w="25400">
              <a:solidFill>
                <a:srgbClr val="333399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333399"/>
              </a:solidFill>
              <a:ln>
                <a:solidFill>
                  <a:srgbClr val="333399"/>
                </a:solidFill>
                <a:prstDash val="solid"/>
              </a:ln>
            </c:spPr>
          </c:marker>
          <c:xVal>
            <c:numRef>
              <c:f>'[6]Strategy L13'!$C$32:$C$42</c:f>
              <c:numCache>
                <c:formatCode>General</c:formatCode>
                <c:ptCount val="11"/>
                <c:pt idx="0">
                  <c:v>7.4999999999999997E-2</c:v>
                </c:pt>
                <c:pt idx="1">
                  <c:v>0.08</c:v>
                </c:pt>
                <c:pt idx="2">
                  <c:v>8.4999999999999992E-2</c:v>
                </c:pt>
                <c:pt idx="3">
                  <c:v>0.09</c:v>
                </c:pt>
                <c:pt idx="4">
                  <c:v>9.5000000000000001E-2</c:v>
                </c:pt>
                <c:pt idx="5">
                  <c:v>0.1</c:v>
                </c:pt>
                <c:pt idx="6">
                  <c:v>0.105</c:v>
                </c:pt>
                <c:pt idx="7">
                  <c:v>0.11</c:v>
                </c:pt>
                <c:pt idx="8">
                  <c:v>0.115</c:v>
                </c:pt>
                <c:pt idx="9">
                  <c:v>0.12</c:v>
                </c:pt>
                <c:pt idx="10">
                  <c:v>0.125</c:v>
                </c:pt>
              </c:numCache>
            </c:numRef>
          </c:xVal>
          <c:yVal>
            <c:numRef>
              <c:f>'[6]Strategy L13'!$E$32:$E$42</c:f>
              <c:numCache>
                <c:formatCode>General</c:formatCode>
                <c:ptCount val="11"/>
                <c:pt idx="0">
                  <c:v>1.0063996523337313</c:v>
                </c:pt>
                <c:pt idx="1">
                  <c:v>1.0021478000403019</c:v>
                </c:pt>
                <c:pt idx="2">
                  <c:v>0.99789594774687251</c:v>
                </c:pt>
                <c:pt idx="3">
                  <c:v>0.99364409545344312</c:v>
                </c:pt>
                <c:pt idx="4">
                  <c:v>0.98939224316001362</c:v>
                </c:pt>
                <c:pt idx="5">
                  <c:v>0.98514039086658423</c:v>
                </c:pt>
                <c:pt idx="6">
                  <c:v>0.98088853857315483</c:v>
                </c:pt>
                <c:pt idx="7">
                  <c:v>0.97663668627972611</c:v>
                </c:pt>
                <c:pt idx="8">
                  <c:v>0.9723848339862966</c:v>
                </c:pt>
                <c:pt idx="9">
                  <c:v>0.96813298169286721</c:v>
                </c:pt>
                <c:pt idx="10">
                  <c:v>0.96388112939943771</c:v>
                </c:pt>
              </c:numCache>
            </c:numRef>
          </c:yVal>
          <c:smooth val="0"/>
        </c:ser>
        <c:ser>
          <c:idx val="1"/>
          <c:order val="1"/>
          <c:tx>
            <c:v>Drop Deal</c:v>
          </c:tx>
          <c:spPr>
            <a:ln w="25400">
              <a:solidFill>
                <a:srgbClr val="993366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993366"/>
              </a:solidFill>
              <a:ln>
                <a:solidFill>
                  <a:srgbClr val="993366"/>
                </a:solidFill>
                <a:prstDash val="solid"/>
              </a:ln>
            </c:spPr>
          </c:marker>
          <c:xVal>
            <c:numRef>
              <c:f>'[6]Strategy L13'!$C$32:$C$42</c:f>
              <c:numCache>
                <c:formatCode>General</c:formatCode>
                <c:ptCount val="11"/>
                <c:pt idx="0">
                  <c:v>7.4999999999999997E-2</c:v>
                </c:pt>
                <c:pt idx="1">
                  <c:v>0.08</c:v>
                </c:pt>
                <c:pt idx="2">
                  <c:v>8.4999999999999992E-2</c:v>
                </c:pt>
                <c:pt idx="3">
                  <c:v>0.09</c:v>
                </c:pt>
                <c:pt idx="4">
                  <c:v>9.5000000000000001E-2</c:v>
                </c:pt>
                <c:pt idx="5">
                  <c:v>0.1</c:v>
                </c:pt>
                <c:pt idx="6">
                  <c:v>0.105</c:v>
                </c:pt>
                <c:pt idx="7">
                  <c:v>0.11</c:v>
                </c:pt>
                <c:pt idx="8">
                  <c:v>0.115</c:v>
                </c:pt>
                <c:pt idx="9">
                  <c:v>0.12</c:v>
                </c:pt>
                <c:pt idx="10">
                  <c:v>0.125</c:v>
                </c:pt>
              </c:numCache>
            </c:numRef>
          </c:xVal>
          <c:yVal>
            <c:numRef>
              <c:f>'[6]Strategy L13'!$G$32:$G$42</c:f>
              <c:numCache>
                <c:formatCode>General</c:formatCode>
                <c:ptCount val="11"/>
                <c:pt idx="0">
                  <c:v>-0.15944446100360066</c:v>
                </c:pt>
                <c:pt idx="1">
                  <c:v>-0.17007409173717408</c:v>
                </c:pt>
                <c:pt idx="2">
                  <c:v>-0.18070372247074742</c:v>
                </c:pt>
                <c:pt idx="3">
                  <c:v>-0.19133335320432082</c:v>
                </c:pt>
                <c:pt idx="4">
                  <c:v>-0.20196298393789422</c:v>
                </c:pt>
                <c:pt idx="5">
                  <c:v>-0.21259261467146759</c:v>
                </c:pt>
                <c:pt idx="6">
                  <c:v>-0.22322224540504096</c:v>
                </c:pt>
                <c:pt idx="7">
                  <c:v>-0.23385187613861433</c:v>
                </c:pt>
                <c:pt idx="8">
                  <c:v>-0.24448150687218773</c:v>
                </c:pt>
                <c:pt idx="9">
                  <c:v>-0.2551111376057611</c:v>
                </c:pt>
                <c:pt idx="10">
                  <c:v>-0.26574076833933447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70738688"/>
        <c:axId val="71938432"/>
      </c:scatterChart>
      <c:valAx>
        <c:axId val="70738688"/>
        <c:scaling>
          <c:orientation val="minMax"/>
          <c:max val="0.13"/>
          <c:min val="7.0000000000000007E-2"/>
        </c:scaling>
        <c:delete val="0"/>
        <c:axPos val="b"/>
        <c:title>
          <c:tx>
            <c:rich>
              <a:bodyPr/>
              <a:lstStyle/>
              <a:p>
                <a:pPr>
                  <a:defRPr sz="800" b="0"/>
                </a:pPr>
                <a:r>
                  <a:rPr lang="en-US"/>
                  <a:t>Cost of DT being strong (L13)</a:t>
                </a:r>
              </a:p>
            </c:rich>
          </c:tx>
          <c:layout>
            <c:manualLayout>
              <c:xMode val="edge"/>
              <c:yMode val="edge"/>
              <c:x val="0.30178710721907426"/>
              <c:y val="0.92128175101000731"/>
            </c:manualLayout>
          </c:layout>
          <c:overlay val="0"/>
        </c:title>
        <c:numFmt formatCode="0%" sourceLinked="0"/>
        <c:majorTickMark val="out"/>
        <c:minorTickMark val="none"/>
        <c:tickLblPos val="nextTo"/>
        <c:txPr>
          <a:bodyPr rot="-5400000" vert="horz"/>
          <a:lstStyle/>
          <a:p>
            <a:pPr>
              <a:defRPr sz="800" b="0"/>
            </a:pPr>
            <a:endParaRPr lang="en-US"/>
          </a:p>
        </c:txPr>
        <c:crossAx val="71938432"/>
        <c:crossesAt val="-1.0000000000000001E+300"/>
        <c:crossBetween val="midCat"/>
        <c:majorUnit val="0.01"/>
      </c:valAx>
      <c:valAx>
        <c:axId val="71938432"/>
        <c:scaling>
          <c:orientation val="minMax"/>
          <c:max val="1.2"/>
          <c:min val="-0.4"/>
        </c:scaling>
        <c:delete val="0"/>
        <c:axPos val="l"/>
        <c:title>
          <c:tx>
            <c:rich>
              <a:bodyPr/>
              <a:lstStyle/>
              <a:p>
                <a:pPr>
                  <a:defRPr sz="800" b="0"/>
                </a:pPr>
                <a:r>
                  <a:rPr lang="en-US"/>
                  <a:t>Expected Value</a:t>
                </a:r>
              </a:p>
            </c:rich>
          </c:tx>
          <c:layout/>
          <c:overlay val="0"/>
        </c:title>
        <c:numFmt formatCode="General" sourceLinked="0"/>
        <c:majorTickMark val="out"/>
        <c:minorTickMark val="none"/>
        <c:tickLblPos val="nextTo"/>
        <c:txPr>
          <a:bodyPr/>
          <a:lstStyle/>
          <a:p>
            <a:pPr>
              <a:defRPr sz="800" b="0"/>
            </a:pPr>
            <a:endParaRPr lang="en-US"/>
          </a:p>
        </c:txPr>
        <c:crossAx val="70738688"/>
        <c:crossesAt val="-1.0000000000000001E+300"/>
        <c:crossBetween val="midCat"/>
        <c:majorUnit val="0.2"/>
      </c:valAx>
    </c:plotArea>
    <c:legend>
      <c:legendPos val="r"/>
      <c:layout/>
      <c:overlay val="0"/>
      <c:spPr>
        <a:ln w="25400">
          <a:noFill/>
        </a:ln>
      </c:spPr>
      <c:txPr>
        <a:bodyPr/>
        <a:lstStyle/>
        <a:p>
          <a:pPr>
            <a:defRPr sz="800"/>
          </a:pPr>
          <a:endParaRPr lang="en-US"/>
        </a:p>
      </c:txPr>
    </c:legend>
    <c:plotVisOnly val="1"/>
    <c:dispBlanksAs val="gap"/>
    <c:showDLblsOverMax val="0"/>
  </c:chart>
  <c:spPr>
    <a:ln w="25400"/>
  </c:spPr>
  <c:printSettings>
    <c:headerFooter/>
    <c:pageMargins b="0.75" l="0.7" r="0.7" t="0.75" header="0.3" footer="0.3"/>
    <c:pageSetup/>
  </c:printSettings>
  <c:userShapes r:id="rId1"/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/>
            </a:pPr>
            <a:r>
              <a:rPr lang="en-US"/>
              <a:t>Tornado Graph of Decision Tree 'Hostile Acq?'</a:t>
            </a:r>
            <a:r>
              <a:rPr lang="en-US" sz="800" b="0" i="0" u="none" strike="noStrike" baseline="0">
                <a:solidFill>
                  <a:srgbClr val="000000"/>
                </a:solidFill>
                <a:latin typeface="+mn-lt"/>
                <a:ea typeface="+mn-lt"/>
                <a:cs typeface="+mn-lt"/>
              </a:rPr>
              <a:t>
Expected Value of Entire Model </a:t>
            </a:r>
            <a:endParaRPr lang="en-US"/>
          </a:p>
        </c:rich>
      </c:tx>
      <c:layout/>
      <c:overlay val="0"/>
    </c:title>
    <c:autoTitleDeleted val="0"/>
    <c:plotArea>
      <c:layout>
        <c:manualLayout>
          <c:xMode val="edge"/>
          <c:yMode val="edge"/>
          <c:x val="2.5700934579439252E-2"/>
          <c:y val="0.1471183814841959"/>
          <c:w val="0.94859813084112155"/>
          <c:h val="0.76422630427241645"/>
        </c:manualLayout>
      </c:layout>
      <c:barChart>
        <c:barDir val="bar"/>
        <c:grouping val="stacked"/>
        <c:varyColors val="0"/>
        <c:ser>
          <c:idx val="0"/>
          <c:order val="0"/>
          <c:spPr>
            <a:noFill/>
            <a:ln w="25400">
              <a:noFill/>
            </a:ln>
          </c:spPr>
          <c:invertIfNegative val="0"/>
          <c:cat>
            <c:strRef>
              <c:f>[6]Tornado!$C$33:$C$37</c:f>
              <c:strCache>
                <c:ptCount val="5"/>
                <c:pt idx="0">
                  <c:v>Discount Rate (L14)</c:v>
                </c:pt>
                <c:pt idx="1">
                  <c:v>P(Deal Closes) (L18)</c:v>
                </c:pt>
                <c:pt idx="2">
                  <c:v>P(DG Creates Value) (L19)</c:v>
                </c:pt>
                <c:pt idx="3">
                  <c:v>P(DT creates Value) (L20)</c:v>
                </c:pt>
                <c:pt idx="4">
                  <c:v>Cost of DT being strong (L13)</c:v>
                </c:pt>
              </c:strCache>
            </c:strRef>
          </c:cat>
          <c:val>
            <c:numLit>
              <c:formatCode>General</c:formatCode>
              <c:ptCount val="5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</c:numLit>
          </c:val>
        </c:ser>
        <c:ser>
          <c:idx val="1"/>
          <c:order val="1"/>
          <c:spPr>
            <a:noFill/>
            <a:ln w="25400">
              <a:noFill/>
            </a:ln>
          </c:spPr>
          <c:invertIfNegative val="0"/>
          <c:cat>
            <c:strRef>
              <c:f>[6]Tornado!$C$33:$C$37</c:f>
              <c:strCache>
                <c:ptCount val="5"/>
                <c:pt idx="0">
                  <c:v>Discount Rate (L14)</c:v>
                </c:pt>
                <c:pt idx="1">
                  <c:v>P(Deal Closes) (L18)</c:v>
                </c:pt>
                <c:pt idx="2">
                  <c:v>P(DG Creates Value) (L19)</c:v>
                </c:pt>
                <c:pt idx="3">
                  <c:v>P(DT creates Value) (L20)</c:v>
                </c:pt>
                <c:pt idx="4">
                  <c:v>Cost of DT being strong (L13)</c:v>
                </c:pt>
              </c:strCache>
            </c:strRef>
          </c:cat>
          <c:val>
            <c:numLit>
              <c:formatCode>General</c:formatCode>
              <c:ptCount val="5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0.94831610651848719</c:v>
              </c:pt>
              <c:pt idx="4">
                <c:v>0.96388112939943771</c:v>
              </c:pt>
            </c:numLit>
          </c:val>
        </c:ser>
        <c:ser>
          <c:idx val="2"/>
          <c:order val="2"/>
          <c:spPr>
            <a:solidFill>
              <a:srgbClr val="333399"/>
            </a:solidFill>
            <a:ln w="25400">
              <a:noFill/>
            </a:ln>
          </c:spPr>
          <c:invertIfNegative val="0"/>
          <c:cat>
            <c:strRef>
              <c:f>[6]Tornado!$C$33:$C$37</c:f>
              <c:strCache>
                <c:ptCount val="5"/>
                <c:pt idx="0">
                  <c:v>Discount Rate (L14)</c:v>
                </c:pt>
                <c:pt idx="1">
                  <c:v>P(Deal Closes) (L18)</c:v>
                </c:pt>
                <c:pt idx="2">
                  <c:v>P(DG Creates Value) (L19)</c:v>
                </c:pt>
                <c:pt idx="3">
                  <c:v>P(DT creates Value) (L20)</c:v>
                </c:pt>
                <c:pt idx="4">
                  <c:v>Cost of DT being strong (L13)</c:v>
                </c:pt>
              </c:strCache>
            </c:strRef>
          </c:cat>
          <c:val>
            <c:numLit>
              <c:formatCode>General</c:formatCode>
              <c:ptCount val="5"/>
              <c:pt idx="0">
                <c:v>-0.14817228346640474</c:v>
              </c:pt>
              <c:pt idx="1">
                <c:v>-0.21259261467146759</c:v>
              </c:pt>
              <c:pt idx="2">
                <c:v>-0.21259261467146759</c:v>
              </c:pt>
              <c:pt idx="3">
                <c:v>0</c:v>
              </c:pt>
              <c:pt idx="4">
                <c:v>0</c:v>
              </c:pt>
            </c:numLit>
          </c:val>
        </c:ser>
        <c:ser>
          <c:idx val="3"/>
          <c:order val="3"/>
          <c:spPr>
            <a:solidFill>
              <a:srgbClr val="333399"/>
            </a:solidFill>
            <a:ln w="25400">
              <a:noFill/>
            </a:ln>
          </c:spPr>
          <c:invertIfNegative val="0"/>
          <c:cat>
            <c:strRef>
              <c:f>[6]Tornado!$C$33:$C$37</c:f>
              <c:strCache>
                <c:ptCount val="5"/>
                <c:pt idx="0">
                  <c:v>Discount Rate (L14)</c:v>
                </c:pt>
                <c:pt idx="1">
                  <c:v>P(Deal Closes) (L18)</c:v>
                </c:pt>
                <c:pt idx="2">
                  <c:v>P(DG Creates Value) (L19)</c:v>
                </c:pt>
                <c:pt idx="3">
                  <c:v>P(DT creates Value) (L20)</c:v>
                </c:pt>
                <c:pt idx="4">
                  <c:v>Cost of DT being strong (L13)</c:v>
                </c:pt>
              </c:strCache>
            </c:strRef>
          </c:cat>
          <c:val>
            <c:numLit>
              <c:formatCode>General</c:formatCode>
              <c:ptCount val="5"/>
              <c:pt idx="0">
                <c:v>4.0632055955800661</c:v>
              </c:pt>
              <c:pt idx="1">
                <c:v>3.559573642251098</c:v>
              </c:pt>
              <c:pt idx="2">
                <c:v>2.4861600932646373</c:v>
              </c:pt>
              <c:pt idx="3">
                <c:v>7.3648568696194849E-2</c:v>
              </c:pt>
              <c:pt idx="4">
                <c:v>4.251852293429359E-2</c:v>
              </c:pt>
            </c:numLit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0"/>
        <c:overlap val="100"/>
        <c:axId val="219753088"/>
        <c:axId val="112837376"/>
      </c:barChart>
      <c:catAx>
        <c:axId val="219753088"/>
        <c:scaling>
          <c:orientation val="maxMin"/>
        </c:scaling>
        <c:delete val="0"/>
        <c:axPos val="l"/>
        <c:majorTickMark val="none"/>
        <c:minorTickMark val="none"/>
        <c:tickLblPos val="low"/>
        <c:txPr>
          <a:bodyPr rot="0" vert="horz"/>
          <a:lstStyle/>
          <a:p>
            <a:pPr>
              <a:defRPr sz="800"/>
            </a:pPr>
            <a:endParaRPr lang="en-US"/>
          </a:p>
        </c:txPr>
        <c:crossAx val="112837376"/>
        <c:crossesAt val="-1.0000000000000001E+300"/>
        <c:auto val="1"/>
        <c:lblAlgn val="ctr"/>
        <c:lblOffset val="100"/>
        <c:noMultiLvlLbl val="0"/>
      </c:catAx>
      <c:valAx>
        <c:axId val="112837376"/>
        <c:scaling>
          <c:orientation val="minMax"/>
          <c:max val="4.5"/>
          <c:min val="-0.5"/>
        </c:scaling>
        <c:delete val="0"/>
        <c:axPos val="b"/>
        <c:title>
          <c:tx>
            <c:rich>
              <a:bodyPr/>
              <a:lstStyle/>
              <a:p>
                <a:pPr>
                  <a:defRPr sz="800" b="0"/>
                </a:pPr>
                <a:r>
                  <a:rPr lang="en-US"/>
                  <a:t>Expected Value</a:t>
                </a:r>
              </a:p>
            </c:rich>
          </c:tx>
          <c:layout>
            <c:manualLayout>
              <c:xMode val="edge"/>
              <c:yMode val="edge"/>
              <c:x val="0.446075686216793"/>
              <c:y val="0.92128175101000731"/>
            </c:manualLayout>
          </c:layout>
          <c:overlay val="0"/>
        </c:title>
        <c:numFmt formatCode="General" sourceLinked="0"/>
        <c:majorTickMark val="out"/>
        <c:minorTickMark val="none"/>
        <c:tickLblPos val="nextTo"/>
        <c:txPr>
          <a:bodyPr rot="-5400000" vert="horz"/>
          <a:lstStyle/>
          <a:p>
            <a:pPr>
              <a:defRPr sz="800" b="0"/>
            </a:pPr>
            <a:endParaRPr lang="en-US"/>
          </a:p>
        </c:txPr>
        <c:crossAx val="219753088"/>
        <c:crosses val="max"/>
        <c:crossBetween val="between"/>
        <c:majorUnit val="0.5"/>
      </c:valAx>
    </c:plotArea>
    <c:plotVisOnly val="1"/>
    <c:dispBlanksAs val="gap"/>
    <c:showDLblsOverMax val="0"/>
  </c:chart>
  <c:spPr>
    <a:ln w="25400"/>
  </c:spPr>
  <c:printSettings>
    <c:headerFooter/>
    <c:pageMargins b="0.75" l="0.7" r="0.7" t="0.75" header="0.3" footer="0.3"/>
    <c:pageSetup/>
  </c:printSettings>
  <c:userShapes r:id="rId1"/>
</c:chartSpace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238887</xdr:colOff>
      <xdr:row>22</xdr:row>
      <xdr:rowOff>177800</xdr:rowOff>
    </xdr:from>
    <xdr:to>
      <xdr:col>4</xdr:col>
      <xdr:colOff>127</xdr:colOff>
      <xdr:row>22</xdr:row>
      <xdr:rowOff>177800</xdr:rowOff>
    </xdr:to>
    <xdr:cxnSp macro="_xll.PtreeEvent_ObjectClick">
      <xdr:nvCxnSpPr>
        <xdr:cNvPr id="153" name="PTObj_DBranchHLine_2_11"/>
        <xdr:cNvCxnSpPr/>
      </xdr:nvCxnSpPr>
      <xdr:spPr>
        <a:xfrm>
          <a:off x="2936367" y="4254500"/>
          <a:ext cx="1285240" cy="0"/>
        </a:xfrm>
        <a:prstGeom prst="line">
          <a:avLst/>
        </a:prstGeom>
        <a:ln>
          <a:solidFill>
            <a:srgbClr val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86487</xdr:colOff>
      <xdr:row>20</xdr:row>
      <xdr:rowOff>172720</xdr:rowOff>
    </xdr:from>
    <xdr:to>
      <xdr:col>3</xdr:col>
      <xdr:colOff>238887</xdr:colOff>
      <xdr:row>22</xdr:row>
      <xdr:rowOff>177800</xdr:rowOff>
    </xdr:to>
    <xdr:cxnSp macro="_xll.PtreeEvent_ObjectClick">
      <xdr:nvCxnSpPr>
        <xdr:cNvPr id="152" name="PTObj_DBranchDLine_2_11"/>
        <xdr:cNvCxnSpPr/>
      </xdr:nvCxnSpPr>
      <xdr:spPr>
        <a:xfrm>
          <a:off x="2783967" y="3883660"/>
          <a:ext cx="152400" cy="370840"/>
        </a:xfrm>
        <a:prstGeom prst="line">
          <a:avLst/>
        </a:prstGeom>
        <a:ln>
          <a:solidFill>
            <a:srgbClr val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238887</xdr:colOff>
      <xdr:row>18</xdr:row>
      <xdr:rowOff>177800</xdr:rowOff>
    </xdr:from>
    <xdr:to>
      <xdr:col>4</xdr:col>
      <xdr:colOff>127</xdr:colOff>
      <xdr:row>18</xdr:row>
      <xdr:rowOff>177800</xdr:rowOff>
    </xdr:to>
    <xdr:cxnSp macro="_xll.PtreeEvent_ObjectClick">
      <xdr:nvCxnSpPr>
        <xdr:cNvPr id="149" name="PTObj_DBranchHLine_2_10"/>
        <xdr:cNvCxnSpPr/>
      </xdr:nvCxnSpPr>
      <xdr:spPr>
        <a:xfrm>
          <a:off x="2936367" y="3522980"/>
          <a:ext cx="1285240" cy="0"/>
        </a:xfrm>
        <a:prstGeom prst="line">
          <a:avLst/>
        </a:prstGeom>
        <a:ln>
          <a:solidFill>
            <a:srgbClr val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86487</xdr:colOff>
      <xdr:row>18</xdr:row>
      <xdr:rowOff>177800</xdr:rowOff>
    </xdr:from>
    <xdr:to>
      <xdr:col>3</xdr:col>
      <xdr:colOff>238887</xdr:colOff>
      <xdr:row>20</xdr:row>
      <xdr:rowOff>172720</xdr:rowOff>
    </xdr:to>
    <xdr:cxnSp macro="_xll.PtreeEvent_ObjectClick">
      <xdr:nvCxnSpPr>
        <xdr:cNvPr id="148" name="PTObj_DBranchDLine_2_10"/>
        <xdr:cNvCxnSpPr/>
      </xdr:nvCxnSpPr>
      <xdr:spPr>
        <a:xfrm flipV="1">
          <a:off x="2783967" y="3522980"/>
          <a:ext cx="152400" cy="360680"/>
        </a:xfrm>
        <a:prstGeom prst="line">
          <a:avLst/>
        </a:prstGeom>
        <a:ln>
          <a:solidFill>
            <a:srgbClr val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238887</xdr:colOff>
      <xdr:row>20</xdr:row>
      <xdr:rowOff>177800</xdr:rowOff>
    </xdr:from>
    <xdr:to>
      <xdr:col>3</xdr:col>
      <xdr:colOff>127</xdr:colOff>
      <xdr:row>20</xdr:row>
      <xdr:rowOff>177800</xdr:rowOff>
    </xdr:to>
    <xdr:cxnSp macro="_xll.PtreeEvent_ObjectClick">
      <xdr:nvCxnSpPr>
        <xdr:cNvPr id="145" name="PTObj_DBranchHLine_2_3"/>
        <xdr:cNvCxnSpPr/>
      </xdr:nvCxnSpPr>
      <xdr:spPr>
        <a:xfrm>
          <a:off x="1633347" y="3888740"/>
          <a:ext cx="1056640" cy="0"/>
        </a:xfrm>
        <a:prstGeom prst="line">
          <a:avLst/>
        </a:prstGeom>
        <a:ln>
          <a:solidFill>
            <a:srgbClr val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86487</xdr:colOff>
      <xdr:row>16</xdr:row>
      <xdr:rowOff>172720</xdr:rowOff>
    </xdr:from>
    <xdr:to>
      <xdr:col>2</xdr:col>
      <xdr:colOff>238887</xdr:colOff>
      <xdr:row>20</xdr:row>
      <xdr:rowOff>177800</xdr:rowOff>
    </xdr:to>
    <xdr:cxnSp macro="_xll.PtreeEvent_ObjectClick">
      <xdr:nvCxnSpPr>
        <xdr:cNvPr id="144" name="PTObj_DBranchDLine_2_3"/>
        <xdr:cNvCxnSpPr/>
      </xdr:nvCxnSpPr>
      <xdr:spPr>
        <a:xfrm>
          <a:off x="1480947" y="3152140"/>
          <a:ext cx="152400" cy="736600"/>
        </a:xfrm>
        <a:prstGeom prst="line">
          <a:avLst/>
        </a:prstGeom>
        <a:ln>
          <a:solidFill>
            <a:srgbClr val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238887</xdr:colOff>
      <xdr:row>14</xdr:row>
      <xdr:rowOff>177800</xdr:rowOff>
    </xdr:from>
    <xdr:to>
      <xdr:col>5</xdr:col>
      <xdr:colOff>127</xdr:colOff>
      <xdr:row>14</xdr:row>
      <xdr:rowOff>177800</xdr:rowOff>
    </xdr:to>
    <xdr:cxnSp macro="_xll.PtreeEvent_ObjectClick">
      <xdr:nvCxnSpPr>
        <xdr:cNvPr id="137" name="PTObj_DBranchHLine_2_9"/>
        <xdr:cNvCxnSpPr/>
      </xdr:nvCxnSpPr>
      <xdr:spPr>
        <a:xfrm>
          <a:off x="3942207" y="2791460"/>
          <a:ext cx="1285240" cy="0"/>
        </a:xfrm>
        <a:prstGeom prst="line">
          <a:avLst/>
        </a:prstGeom>
        <a:ln>
          <a:solidFill>
            <a:srgbClr val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86487</xdr:colOff>
      <xdr:row>12</xdr:row>
      <xdr:rowOff>172720</xdr:rowOff>
    </xdr:from>
    <xdr:to>
      <xdr:col>4</xdr:col>
      <xdr:colOff>238887</xdr:colOff>
      <xdr:row>14</xdr:row>
      <xdr:rowOff>177800</xdr:rowOff>
    </xdr:to>
    <xdr:cxnSp macro="_xll.PtreeEvent_ObjectClick">
      <xdr:nvCxnSpPr>
        <xdr:cNvPr id="136" name="PTObj_DBranchDLine_2_9"/>
        <xdr:cNvCxnSpPr/>
      </xdr:nvCxnSpPr>
      <xdr:spPr>
        <a:xfrm>
          <a:off x="3789807" y="2420620"/>
          <a:ext cx="152400" cy="370840"/>
        </a:xfrm>
        <a:prstGeom prst="line">
          <a:avLst/>
        </a:prstGeom>
        <a:ln>
          <a:solidFill>
            <a:srgbClr val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238887</xdr:colOff>
      <xdr:row>10</xdr:row>
      <xdr:rowOff>177800</xdr:rowOff>
    </xdr:from>
    <xdr:to>
      <xdr:col>5</xdr:col>
      <xdr:colOff>127</xdr:colOff>
      <xdr:row>10</xdr:row>
      <xdr:rowOff>177800</xdr:rowOff>
    </xdr:to>
    <xdr:cxnSp macro="_xll.PtreeEvent_ObjectClick">
      <xdr:nvCxnSpPr>
        <xdr:cNvPr id="133" name="PTObj_DBranchHLine_2_8"/>
        <xdr:cNvCxnSpPr/>
      </xdr:nvCxnSpPr>
      <xdr:spPr>
        <a:xfrm>
          <a:off x="3942207" y="2059940"/>
          <a:ext cx="1285240" cy="0"/>
        </a:xfrm>
        <a:prstGeom prst="line">
          <a:avLst/>
        </a:prstGeom>
        <a:ln>
          <a:solidFill>
            <a:srgbClr val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86487</xdr:colOff>
      <xdr:row>10</xdr:row>
      <xdr:rowOff>177800</xdr:rowOff>
    </xdr:from>
    <xdr:to>
      <xdr:col>4</xdr:col>
      <xdr:colOff>238887</xdr:colOff>
      <xdr:row>12</xdr:row>
      <xdr:rowOff>172720</xdr:rowOff>
    </xdr:to>
    <xdr:cxnSp macro="_xll.PtreeEvent_ObjectClick">
      <xdr:nvCxnSpPr>
        <xdr:cNvPr id="132" name="PTObj_DBranchDLine_2_8"/>
        <xdr:cNvCxnSpPr/>
      </xdr:nvCxnSpPr>
      <xdr:spPr>
        <a:xfrm flipV="1">
          <a:off x="3789807" y="2059940"/>
          <a:ext cx="152400" cy="360680"/>
        </a:xfrm>
        <a:prstGeom prst="line">
          <a:avLst/>
        </a:prstGeom>
        <a:ln>
          <a:solidFill>
            <a:srgbClr val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238887</xdr:colOff>
      <xdr:row>12</xdr:row>
      <xdr:rowOff>177800</xdr:rowOff>
    </xdr:from>
    <xdr:to>
      <xdr:col>4</xdr:col>
      <xdr:colOff>127</xdr:colOff>
      <xdr:row>12</xdr:row>
      <xdr:rowOff>177800</xdr:rowOff>
    </xdr:to>
    <xdr:cxnSp macro="_xll.PtreeEvent_ObjectClick">
      <xdr:nvCxnSpPr>
        <xdr:cNvPr id="129" name="PTObj_DBranchHLine_2_5"/>
        <xdr:cNvCxnSpPr/>
      </xdr:nvCxnSpPr>
      <xdr:spPr>
        <a:xfrm>
          <a:off x="2730627" y="2425700"/>
          <a:ext cx="972820" cy="0"/>
        </a:xfrm>
        <a:prstGeom prst="line">
          <a:avLst/>
        </a:prstGeom>
        <a:ln>
          <a:solidFill>
            <a:srgbClr val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86487</xdr:colOff>
      <xdr:row>8</xdr:row>
      <xdr:rowOff>172720</xdr:rowOff>
    </xdr:from>
    <xdr:to>
      <xdr:col>3</xdr:col>
      <xdr:colOff>238887</xdr:colOff>
      <xdr:row>12</xdr:row>
      <xdr:rowOff>177800</xdr:rowOff>
    </xdr:to>
    <xdr:cxnSp macro="_xll.PtreeEvent_ObjectClick">
      <xdr:nvCxnSpPr>
        <xdr:cNvPr id="128" name="PTObj_DBranchDLine_2_5"/>
        <xdr:cNvCxnSpPr/>
      </xdr:nvCxnSpPr>
      <xdr:spPr>
        <a:xfrm>
          <a:off x="2578227" y="1689100"/>
          <a:ext cx="152400" cy="736600"/>
        </a:xfrm>
        <a:prstGeom prst="line">
          <a:avLst/>
        </a:prstGeom>
        <a:ln>
          <a:solidFill>
            <a:srgbClr val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238887</xdr:colOff>
      <xdr:row>6</xdr:row>
      <xdr:rowOff>177800</xdr:rowOff>
    </xdr:from>
    <xdr:to>
      <xdr:col>5</xdr:col>
      <xdr:colOff>127</xdr:colOff>
      <xdr:row>6</xdr:row>
      <xdr:rowOff>177800</xdr:rowOff>
    </xdr:to>
    <xdr:cxnSp macro="_xll.PtreeEvent_ObjectClick">
      <xdr:nvCxnSpPr>
        <xdr:cNvPr id="121" name="PTObj_DBranchHLine_2_7"/>
        <xdr:cNvCxnSpPr/>
      </xdr:nvCxnSpPr>
      <xdr:spPr>
        <a:xfrm>
          <a:off x="3827907" y="1328420"/>
          <a:ext cx="1148080" cy="0"/>
        </a:xfrm>
        <a:prstGeom prst="line">
          <a:avLst/>
        </a:prstGeom>
        <a:ln>
          <a:solidFill>
            <a:srgbClr val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86487</xdr:colOff>
      <xdr:row>4</xdr:row>
      <xdr:rowOff>172720</xdr:rowOff>
    </xdr:from>
    <xdr:to>
      <xdr:col>4</xdr:col>
      <xdr:colOff>238887</xdr:colOff>
      <xdr:row>6</xdr:row>
      <xdr:rowOff>177800</xdr:rowOff>
    </xdr:to>
    <xdr:cxnSp macro="_xll.PtreeEvent_ObjectClick">
      <xdr:nvCxnSpPr>
        <xdr:cNvPr id="120" name="PTObj_DBranchDLine_2_7"/>
        <xdr:cNvCxnSpPr/>
      </xdr:nvCxnSpPr>
      <xdr:spPr>
        <a:xfrm>
          <a:off x="3675507" y="957580"/>
          <a:ext cx="152400" cy="370840"/>
        </a:xfrm>
        <a:prstGeom prst="line">
          <a:avLst/>
        </a:prstGeom>
        <a:ln>
          <a:solidFill>
            <a:srgbClr val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238887</xdr:colOff>
      <xdr:row>2</xdr:row>
      <xdr:rowOff>177800</xdr:rowOff>
    </xdr:from>
    <xdr:to>
      <xdr:col>5</xdr:col>
      <xdr:colOff>127</xdr:colOff>
      <xdr:row>2</xdr:row>
      <xdr:rowOff>177800</xdr:rowOff>
    </xdr:to>
    <xdr:cxnSp macro="_xll.PtreeEvent_ObjectClick">
      <xdr:nvCxnSpPr>
        <xdr:cNvPr id="117" name="PTObj_DBranchHLine_2_6"/>
        <xdr:cNvCxnSpPr/>
      </xdr:nvCxnSpPr>
      <xdr:spPr>
        <a:xfrm>
          <a:off x="3827907" y="596900"/>
          <a:ext cx="1018540" cy="0"/>
        </a:xfrm>
        <a:prstGeom prst="line">
          <a:avLst/>
        </a:prstGeom>
        <a:ln>
          <a:solidFill>
            <a:srgbClr val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86487</xdr:colOff>
      <xdr:row>2</xdr:row>
      <xdr:rowOff>177800</xdr:rowOff>
    </xdr:from>
    <xdr:to>
      <xdr:col>4</xdr:col>
      <xdr:colOff>238887</xdr:colOff>
      <xdr:row>4</xdr:row>
      <xdr:rowOff>172720</xdr:rowOff>
    </xdr:to>
    <xdr:cxnSp macro="_xll.PtreeEvent_ObjectClick">
      <xdr:nvCxnSpPr>
        <xdr:cNvPr id="116" name="PTObj_DBranchDLine_2_6"/>
        <xdr:cNvCxnSpPr/>
      </xdr:nvCxnSpPr>
      <xdr:spPr>
        <a:xfrm flipV="1">
          <a:off x="3675507" y="596900"/>
          <a:ext cx="152400" cy="360680"/>
        </a:xfrm>
        <a:prstGeom prst="line">
          <a:avLst/>
        </a:prstGeom>
        <a:ln>
          <a:solidFill>
            <a:srgbClr val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238887</xdr:colOff>
      <xdr:row>4</xdr:row>
      <xdr:rowOff>177800</xdr:rowOff>
    </xdr:from>
    <xdr:to>
      <xdr:col>4</xdr:col>
      <xdr:colOff>127</xdr:colOff>
      <xdr:row>4</xdr:row>
      <xdr:rowOff>177800</xdr:rowOff>
    </xdr:to>
    <xdr:cxnSp macro="_xll.PtreeEvent_ObjectClick">
      <xdr:nvCxnSpPr>
        <xdr:cNvPr id="113" name="PTObj_DBranchHLine_2_4"/>
        <xdr:cNvCxnSpPr/>
      </xdr:nvCxnSpPr>
      <xdr:spPr>
        <a:xfrm>
          <a:off x="2730627" y="596900"/>
          <a:ext cx="706120" cy="0"/>
        </a:xfrm>
        <a:prstGeom prst="line">
          <a:avLst/>
        </a:prstGeom>
        <a:ln>
          <a:solidFill>
            <a:srgbClr val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86487</xdr:colOff>
      <xdr:row>4</xdr:row>
      <xdr:rowOff>177800</xdr:rowOff>
    </xdr:from>
    <xdr:to>
      <xdr:col>3</xdr:col>
      <xdr:colOff>238887</xdr:colOff>
      <xdr:row>8</xdr:row>
      <xdr:rowOff>172720</xdr:rowOff>
    </xdr:to>
    <xdr:cxnSp macro="_xll.PtreeEvent_ObjectClick">
      <xdr:nvCxnSpPr>
        <xdr:cNvPr id="112" name="PTObj_DBranchDLine_2_4"/>
        <xdr:cNvCxnSpPr/>
      </xdr:nvCxnSpPr>
      <xdr:spPr>
        <a:xfrm flipV="1">
          <a:off x="2578227" y="596900"/>
          <a:ext cx="152400" cy="360680"/>
        </a:xfrm>
        <a:prstGeom prst="line">
          <a:avLst/>
        </a:prstGeom>
        <a:ln>
          <a:solidFill>
            <a:srgbClr val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238887</xdr:colOff>
      <xdr:row>8</xdr:row>
      <xdr:rowOff>177800</xdr:rowOff>
    </xdr:from>
    <xdr:to>
      <xdr:col>3</xdr:col>
      <xdr:colOff>127</xdr:colOff>
      <xdr:row>8</xdr:row>
      <xdr:rowOff>177800</xdr:rowOff>
    </xdr:to>
    <xdr:cxnSp macro="_xll.PtreeEvent_ObjectClick">
      <xdr:nvCxnSpPr>
        <xdr:cNvPr id="101" name="PTObj_DBranchHLine_2_2"/>
        <xdr:cNvCxnSpPr/>
      </xdr:nvCxnSpPr>
      <xdr:spPr>
        <a:xfrm>
          <a:off x="1633347" y="596900"/>
          <a:ext cx="1079500" cy="0"/>
        </a:xfrm>
        <a:prstGeom prst="line">
          <a:avLst/>
        </a:prstGeom>
        <a:ln>
          <a:solidFill>
            <a:srgbClr val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86487</xdr:colOff>
      <xdr:row>8</xdr:row>
      <xdr:rowOff>177800</xdr:rowOff>
    </xdr:from>
    <xdr:to>
      <xdr:col>2</xdr:col>
      <xdr:colOff>238887</xdr:colOff>
      <xdr:row>16</xdr:row>
      <xdr:rowOff>172720</xdr:rowOff>
    </xdr:to>
    <xdr:cxnSp macro="_xll.PtreeEvent_ObjectClick">
      <xdr:nvCxnSpPr>
        <xdr:cNvPr id="100" name="PTObj_DBranchDLine_2_2"/>
        <xdr:cNvCxnSpPr/>
      </xdr:nvCxnSpPr>
      <xdr:spPr>
        <a:xfrm flipV="1">
          <a:off x="1480947" y="596900"/>
          <a:ext cx="152400" cy="360680"/>
        </a:xfrm>
        <a:prstGeom prst="line">
          <a:avLst/>
        </a:prstGeom>
        <a:ln>
          <a:solidFill>
            <a:srgbClr val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177800</xdr:colOff>
      <xdr:row>16</xdr:row>
      <xdr:rowOff>177800</xdr:rowOff>
    </xdr:from>
    <xdr:to>
      <xdr:col>2</xdr:col>
      <xdr:colOff>127</xdr:colOff>
      <xdr:row>16</xdr:row>
      <xdr:rowOff>177800</xdr:rowOff>
    </xdr:to>
    <xdr:cxnSp macro="_xll.PtreeEvent_ObjectClick">
      <xdr:nvCxnSpPr>
        <xdr:cNvPr id="9" name="PTObj_DBranchHLine_2_1"/>
        <xdr:cNvCxnSpPr/>
      </xdr:nvCxnSpPr>
      <xdr:spPr>
        <a:xfrm>
          <a:off x="360680" y="596900"/>
          <a:ext cx="828167" cy="0"/>
        </a:xfrm>
        <a:prstGeom prst="line">
          <a:avLst/>
        </a:prstGeom>
        <a:ln>
          <a:solidFill>
            <a:srgbClr val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2</xdr:col>
      <xdr:colOff>127</xdr:colOff>
      <xdr:row>16</xdr:row>
      <xdr:rowOff>86360</xdr:rowOff>
    </xdr:from>
    <xdr:to>
      <xdr:col>2</xdr:col>
      <xdr:colOff>183007</xdr:colOff>
      <xdr:row>17</xdr:row>
      <xdr:rowOff>86360</xdr:rowOff>
    </xdr:to>
    <xdr:sp macro="_xll.PtreeEvent_ObjectClick" textlink="">
      <xdr:nvSpPr>
        <xdr:cNvPr id="8" name="PTObj_DNode_2_1"/>
        <xdr:cNvSpPr/>
      </xdr:nvSpPr>
      <xdr:spPr>
        <a:xfrm>
          <a:off x="1188847" y="505460"/>
          <a:ext cx="182880" cy="182880"/>
        </a:xfrm>
        <a:prstGeom prst="rect">
          <a:avLst/>
        </a:prstGeom>
        <a:solidFill>
          <a:srgbClr val="008000"/>
        </a:solidFill>
        <a:ln w="12700">
          <a:solidFill>
            <a:srgbClr val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oneCellAnchor>
    <xdr:from>
      <xdr:col>1</xdr:col>
      <xdr:colOff>215900</xdr:colOff>
      <xdr:row>16</xdr:row>
      <xdr:rowOff>87487</xdr:rowOff>
    </xdr:from>
    <xdr:ext cx="573490" cy="180627"/>
    <xdr:sp macro="_xll.PtreeEvent_ObjectClick" textlink="">
      <xdr:nvSpPr>
        <xdr:cNvPr id="10" name="PTObj_DBranchName_2_1"/>
        <xdr:cNvSpPr txBox="1"/>
      </xdr:nvSpPr>
      <xdr:spPr>
        <a:xfrm>
          <a:off x="398780" y="506587"/>
          <a:ext cx="573490" cy="180627"/>
        </a:xfrm>
        <a:prstGeom prst="rect">
          <a:avLst/>
        </a:prstGeom>
        <a:solidFill>
          <a:schemeClr val="lt1"/>
        </a:solidFill>
        <a:ln w="9525" cmpd="sng">
          <a:solidFill>
            <a:srgbClr val="80808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wrap="none" lIns="27432" tIns="27432" rIns="27432" bIns="27432" rtlCol="0" anchor="ctr">
          <a:spAutoFit/>
        </a:bodyPr>
        <a:lstStyle/>
        <a:p>
          <a:pPr algn="ctr"/>
          <a:r>
            <a:rPr lang="en-US" sz="800"/>
            <a:t>Hostile Acq?</a:t>
          </a:r>
        </a:p>
      </xdr:txBody>
    </xdr:sp>
    <xdr:clientData/>
  </xdr:oneCellAnchor>
  <xdr:twoCellAnchor editAs="oneCell">
    <xdr:from>
      <xdr:col>3</xdr:col>
      <xdr:colOff>127</xdr:colOff>
      <xdr:row>8</xdr:row>
      <xdr:rowOff>86360</xdr:rowOff>
    </xdr:from>
    <xdr:to>
      <xdr:col>3</xdr:col>
      <xdr:colOff>183007</xdr:colOff>
      <xdr:row>9</xdr:row>
      <xdr:rowOff>86360</xdr:rowOff>
    </xdr:to>
    <xdr:sp macro="_xll.PtreeEvent_ObjectClick" textlink="">
      <xdr:nvSpPr>
        <xdr:cNvPr id="71" name="PTObj_DNode_2_2"/>
        <xdr:cNvSpPr/>
      </xdr:nvSpPr>
      <xdr:spPr>
        <a:xfrm>
          <a:off x="2712847" y="505460"/>
          <a:ext cx="182880" cy="182880"/>
        </a:xfrm>
        <a:prstGeom prst="ellipse">
          <a:avLst/>
        </a:prstGeom>
        <a:solidFill>
          <a:srgbClr val="800000"/>
        </a:solidFill>
        <a:ln w="12700">
          <a:solidFill>
            <a:srgbClr val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oneCellAnchor>
    <xdr:from>
      <xdr:col>2</xdr:col>
      <xdr:colOff>276987</xdr:colOff>
      <xdr:row>8</xdr:row>
      <xdr:rowOff>87487</xdr:rowOff>
    </xdr:from>
    <xdr:ext cx="488082" cy="180627"/>
    <xdr:sp macro="_xll.PtreeEvent_ObjectClick" textlink="">
      <xdr:nvSpPr>
        <xdr:cNvPr id="102" name="PTObj_DBranchName_2_2"/>
        <xdr:cNvSpPr txBox="1"/>
      </xdr:nvSpPr>
      <xdr:spPr>
        <a:xfrm>
          <a:off x="1671447" y="506587"/>
          <a:ext cx="488082" cy="180627"/>
        </a:xfrm>
        <a:prstGeom prst="rect">
          <a:avLst/>
        </a:prstGeom>
        <a:solidFill>
          <a:schemeClr val="lt1"/>
        </a:solidFill>
        <a:ln w="9525" cmpd="sng">
          <a:solidFill>
            <a:srgbClr val="80808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wrap="none" lIns="27432" tIns="27432" rIns="27432" bIns="27432" rtlCol="0" anchor="ctr">
          <a:spAutoFit/>
        </a:bodyPr>
        <a:lstStyle/>
        <a:p>
          <a:pPr algn="ctr"/>
          <a:r>
            <a:rPr lang="en-US" sz="800"/>
            <a:t>Go Hostile</a:t>
          </a:r>
        </a:p>
      </xdr:txBody>
    </xdr:sp>
    <xdr:clientData/>
  </xdr:oneCellAnchor>
  <xdr:twoCellAnchor editAs="oneCell">
    <xdr:from>
      <xdr:col>4</xdr:col>
      <xdr:colOff>127</xdr:colOff>
      <xdr:row>4</xdr:row>
      <xdr:rowOff>86360</xdr:rowOff>
    </xdr:from>
    <xdr:to>
      <xdr:col>4</xdr:col>
      <xdr:colOff>183007</xdr:colOff>
      <xdr:row>5</xdr:row>
      <xdr:rowOff>86360</xdr:rowOff>
    </xdr:to>
    <xdr:sp macro="_xll.PtreeEvent_ObjectClick" textlink="">
      <xdr:nvSpPr>
        <xdr:cNvPr id="111" name="PTObj_DNode_2_4"/>
        <xdr:cNvSpPr/>
      </xdr:nvSpPr>
      <xdr:spPr>
        <a:xfrm>
          <a:off x="3436747" y="505460"/>
          <a:ext cx="182880" cy="182880"/>
        </a:xfrm>
        <a:prstGeom prst="ellipse">
          <a:avLst/>
        </a:prstGeom>
        <a:solidFill>
          <a:srgbClr val="800000"/>
        </a:solidFill>
        <a:ln w="12700">
          <a:solidFill>
            <a:srgbClr val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oneCellAnchor>
    <xdr:from>
      <xdr:col>3</xdr:col>
      <xdr:colOff>276987</xdr:colOff>
      <xdr:row>4</xdr:row>
      <xdr:rowOff>87487</xdr:rowOff>
    </xdr:from>
    <xdr:ext cx="278923" cy="180627"/>
    <xdr:sp macro="_xll.PtreeEvent_ObjectClick" textlink="">
      <xdr:nvSpPr>
        <xdr:cNvPr id="114" name="PTObj_DBranchName_2_4"/>
        <xdr:cNvSpPr txBox="1"/>
      </xdr:nvSpPr>
      <xdr:spPr>
        <a:xfrm>
          <a:off x="2768727" y="506587"/>
          <a:ext cx="278923" cy="180627"/>
        </a:xfrm>
        <a:prstGeom prst="rect">
          <a:avLst/>
        </a:prstGeom>
        <a:solidFill>
          <a:schemeClr val="lt1"/>
        </a:solidFill>
        <a:ln w="9525" cmpd="sng">
          <a:solidFill>
            <a:srgbClr val="80808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wrap="none" lIns="27432" tIns="27432" rIns="27432" bIns="27432" rtlCol="0" anchor="ctr">
          <a:spAutoFit/>
        </a:bodyPr>
        <a:lstStyle/>
        <a:p>
          <a:pPr algn="ctr"/>
          <a:r>
            <a:rPr lang="en-US" sz="800"/>
            <a:t>Close</a:t>
          </a:r>
        </a:p>
      </xdr:txBody>
    </xdr:sp>
    <xdr:clientData/>
  </xdr:oneCellAnchor>
  <xdr:twoCellAnchor editAs="oneCell">
    <xdr:from>
      <xdr:col>5</xdr:col>
      <xdr:colOff>127</xdr:colOff>
      <xdr:row>2</xdr:row>
      <xdr:rowOff>86360</xdr:rowOff>
    </xdr:from>
    <xdr:to>
      <xdr:col>5</xdr:col>
      <xdr:colOff>183007</xdr:colOff>
      <xdr:row>3</xdr:row>
      <xdr:rowOff>86360</xdr:rowOff>
    </xdr:to>
    <xdr:sp macro="_xll.PtreeEvent_ObjectClick" textlink="">
      <xdr:nvSpPr>
        <xdr:cNvPr id="115" name="PTObj_DNode_2_6"/>
        <xdr:cNvSpPr/>
      </xdr:nvSpPr>
      <xdr:spPr>
        <a:xfrm rot="-5400000">
          <a:off x="4846447" y="505460"/>
          <a:ext cx="182880" cy="182880"/>
        </a:xfrm>
        <a:prstGeom prst="triangle">
          <a:avLst/>
        </a:prstGeom>
        <a:solidFill>
          <a:srgbClr val="000080"/>
        </a:solidFill>
        <a:ln w="12700">
          <a:solidFill>
            <a:srgbClr val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oneCellAnchor>
    <xdr:from>
      <xdr:col>4</xdr:col>
      <xdr:colOff>276987</xdr:colOff>
      <xdr:row>2</xdr:row>
      <xdr:rowOff>87487</xdr:rowOff>
    </xdr:from>
    <xdr:ext cx="477567" cy="180627"/>
    <xdr:sp macro="_xll.PtreeEvent_ObjectClick" textlink="">
      <xdr:nvSpPr>
        <xdr:cNvPr id="118" name="PTObj_DBranchName_2_6"/>
        <xdr:cNvSpPr txBox="1"/>
      </xdr:nvSpPr>
      <xdr:spPr>
        <a:xfrm>
          <a:off x="3866007" y="506587"/>
          <a:ext cx="477567" cy="180627"/>
        </a:xfrm>
        <a:prstGeom prst="rect">
          <a:avLst/>
        </a:prstGeom>
        <a:solidFill>
          <a:schemeClr val="lt1"/>
        </a:solidFill>
        <a:ln w="9525" cmpd="sng">
          <a:solidFill>
            <a:srgbClr val="80808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wrap="none" lIns="27432" tIns="27432" rIns="27432" bIns="27432" rtlCol="0" anchor="ctr">
          <a:spAutoFit/>
        </a:bodyPr>
        <a:lstStyle/>
        <a:p>
          <a:pPr algn="ctr"/>
          <a:r>
            <a:rPr lang="en-US" sz="800"/>
            <a:t>Goals met</a:t>
          </a:r>
        </a:p>
      </xdr:txBody>
    </xdr:sp>
    <xdr:clientData/>
  </xdr:oneCellAnchor>
  <xdr:twoCellAnchor editAs="oneCell">
    <xdr:from>
      <xdr:col>5</xdr:col>
      <xdr:colOff>127</xdr:colOff>
      <xdr:row>6</xdr:row>
      <xdr:rowOff>86360</xdr:rowOff>
    </xdr:from>
    <xdr:to>
      <xdr:col>5</xdr:col>
      <xdr:colOff>183007</xdr:colOff>
      <xdr:row>7</xdr:row>
      <xdr:rowOff>86360</xdr:rowOff>
    </xdr:to>
    <xdr:sp macro="_xll.PtreeEvent_ObjectClick" textlink="">
      <xdr:nvSpPr>
        <xdr:cNvPr id="119" name="PTObj_DNode_2_7"/>
        <xdr:cNvSpPr/>
      </xdr:nvSpPr>
      <xdr:spPr>
        <a:xfrm rot="-5400000">
          <a:off x="4975987" y="1236980"/>
          <a:ext cx="182880" cy="182880"/>
        </a:xfrm>
        <a:prstGeom prst="triangle">
          <a:avLst/>
        </a:prstGeom>
        <a:solidFill>
          <a:srgbClr val="000080"/>
        </a:solidFill>
        <a:ln w="12700">
          <a:solidFill>
            <a:srgbClr val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oneCellAnchor>
    <xdr:from>
      <xdr:col>4</xdr:col>
      <xdr:colOff>276987</xdr:colOff>
      <xdr:row>6</xdr:row>
      <xdr:rowOff>87487</xdr:rowOff>
    </xdr:from>
    <xdr:ext cx="303673" cy="180627"/>
    <xdr:sp macro="_xll.PtreeEvent_ObjectClick" textlink="">
      <xdr:nvSpPr>
        <xdr:cNvPr id="122" name="PTObj_DBranchName_2_7"/>
        <xdr:cNvSpPr txBox="1"/>
      </xdr:nvSpPr>
      <xdr:spPr>
        <a:xfrm>
          <a:off x="3866007" y="1238107"/>
          <a:ext cx="303673" cy="180627"/>
        </a:xfrm>
        <a:prstGeom prst="rect">
          <a:avLst/>
        </a:prstGeom>
        <a:solidFill>
          <a:schemeClr val="lt1"/>
        </a:solidFill>
        <a:ln w="9525" cmpd="sng">
          <a:solidFill>
            <a:srgbClr val="80808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wrap="none" lIns="27432" tIns="27432" rIns="27432" bIns="27432" rtlCol="0" anchor="ctr">
          <a:spAutoFit/>
        </a:bodyPr>
        <a:lstStyle/>
        <a:p>
          <a:pPr algn="ctr"/>
          <a:r>
            <a:rPr lang="en-US" sz="800"/>
            <a:t>Failed</a:t>
          </a:r>
        </a:p>
      </xdr:txBody>
    </xdr:sp>
    <xdr:clientData/>
  </xdr:oneCellAnchor>
  <xdr:twoCellAnchor editAs="oneCell">
    <xdr:from>
      <xdr:col>4</xdr:col>
      <xdr:colOff>127</xdr:colOff>
      <xdr:row>12</xdr:row>
      <xdr:rowOff>86360</xdr:rowOff>
    </xdr:from>
    <xdr:to>
      <xdr:col>4</xdr:col>
      <xdr:colOff>183007</xdr:colOff>
      <xdr:row>13</xdr:row>
      <xdr:rowOff>86360</xdr:rowOff>
    </xdr:to>
    <xdr:sp macro="_xll.PtreeEvent_ObjectClick" textlink="">
      <xdr:nvSpPr>
        <xdr:cNvPr id="127" name="PTObj_DNode_2_5"/>
        <xdr:cNvSpPr/>
      </xdr:nvSpPr>
      <xdr:spPr>
        <a:xfrm>
          <a:off x="3703447" y="2334260"/>
          <a:ext cx="182880" cy="182880"/>
        </a:xfrm>
        <a:prstGeom prst="ellipse">
          <a:avLst/>
        </a:prstGeom>
        <a:solidFill>
          <a:srgbClr val="800000"/>
        </a:solidFill>
        <a:ln w="12700">
          <a:solidFill>
            <a:srgbClr val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oneCellAnchor>
    <xdr:from>
      <xdr:col>3</xdr:col>
      <xdr:colOff>276987</xdr:colOff>
      <xdr:row>12</xdr:row>
      <xdr:rowOff>87487</xdr:rowOff>
    </xdr:from>
    <xdr:ext cx="382669" cy="180627"/>
    <xdr:sp macro="_xll.PtreeEvent_ObjectClick" textlink="">
      <xdr:nvSpPr>
        <xdr:cNvPr id="130" name="PTObj_DBranchName_2_5"/>
        <xdr:cNvSpPr txBox="1"/>
      </xdr:nvSpPr>
      <xdr:spPr>
        <a:xfrm>
          <a:off x="2768727" y="2335387"/>
          <a:ext cx="382669" cy="180627"/>
        </a:xfrm>
        <a:prstGeom prst="rect">
          <a:avLst/>
        </a:prstGeom>
        <a:solidFill>
          <a:schemeClr val="lt1"/>
        </a:solidFill>
        <a:ln w="9525" cmpd="sng">
          <a:solidFill>
            <a:srgbClr val="80808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wrap="none" lIns="27432" tIns="27432" rIns="27432" bIns="27432" rtlCol="0" anchor="ctr">
          <a:spAutoFit/>
        </a:bodyPr>
        <a:lstStyle/>
        <a:p>
          <a:pPr algn="ctr"/>
          <a:r>
            <a:rPr lang="en-US" sz="800"/>
            <a:t>DT wins</a:t>
          </a:r>
        </a:p>
      </xdr:txBody>
    </xdr:sp>
    <xdr:clientData/>
  </xdr:oneCellAnchor>
  <xdr:twoCellAnchor editAs="oneCell">
    <xdr:from>
      <xdr:col>5</xdr:col>
      <xdr:colOff>127</xdr:colOff>
      <xdr:row>10</xdr:row>
      <xdr:rowOff>86360</xdr:rowOff>
    </xdr:from>
    <xdr:to>
      <xdr:col>5</xdr:col>
      <xdr:colOff>183007</xdr:colOff>
      <xdr:row>11</xdr:row>
      <xdr:rowOff>86360</xdr:rowOff>
    </xdr:to>
    <xdr:sp macro="_xll.PtreeEvent_ObjectClick" textlink="">
      <xdr:nvSpPr>
        <xdr:cNvPr id="131" name="PTObj_DNode_2_8"/>
        <xdr:cNvSpPr/>
      </xdr:nvSpPr>
      <xdr:spPr>
        <a:xfrm rot="-5400000">
          <a:off x="5227447" y="1968500"/>
          <a:ext cx="182880" cy="182880"/>
        </a:xfrm>
        <a:prstGeom prst="triangle">
          <a:avLst/>
        </a:prstGeom>
        <a:solidFill>
          <a:srgbClr val="000080"/>
        </a:solidFill>
        <a:ln w="12700">
          <a:solidFill>
            <a:srgbClr val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oneCellAnchor>
    <xdr:from>
      <xdr:col>4</xdr:col>
      <xdr:colOff>276987</xdr:colOff>
      <xdr:row>10</xdr:row>
      <xdr:rowOff>87486</xdr:rowOff>
    </xdr:from>
    <xdr:ext cx="530531" cy="180627"/>
    <xdr:sp macro="_xll.PtreeEvent_ObjectClick" textlink="">
      <xdr:nvSpPr>
        <xdr:cNvPr id="134" name="PTObj_DBranchName_2_8"/>
        <xdr:cNvSpPr txBox="1"/>
      </xdr:nvSpPr>
      <xdr:spPr>
        <a:xfrm>
          <a:off x="3980307" y="1969626"/>
          <a:ext cx="530531" cy="180627"/>
        </a:xfrm>
        <a:prstGeom prst="rect">
          <a:avLst/>
        </a:prstGeom>
        <a:solidFill>
          <a:schemeClr val="lt1"/>
        </a:solidFill>
        <a:ln w="9525" cmpd="sng">
          <a:solidFill>
            <a:srgbClr val="80808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wrap="none" lIns="27432" tIns="27432" rIns="27432" bIns="27432" rtlCol="0" anchor="ctr">
          <a:spAutoFit/>
        </a:bodyPr>
        <a:lstStyle/>
        <a:p>
          <a:pPr algn="ctr"/>
          <a:r>
            <a:rPr lang="en-US" sz="800"/>
            <a:t>Strong rival</a:t>
          </a:r>
        </a:p>
      </xdr:txBody>
    </xdr:sp>
    <xdr:clientData/>
  </xdr:oneCellAnchor>
  <xdr:twoCellAnchor editAs="oneCell">
    <xdr:from>
      <xdr:col>5</xdr:col>
      <xdr:colOff>127</xdr:colOff>
      <xdr:row>14</xdr:row>
      <xdr:rowOff>86360</xdr:rowOff>
    </xdr:from>
    <xdr:to>
      <xdr:col>5</xdr:col>
      <xdr:colOff>183007</xdr:colOff>
      <xdr:row>15</xdr:row>
      <xdr:rowOff>86360</xdr:rowOff>
    </xdr:to>
    <xdr:sp macro="_xll.PtreeEvent_ObjectClick" textlink="">
      <xdr:nvSpPr>
        <xdr:cNvPr id="135" name="PTObj_DNode_2_9"/>
        <xdr:cNvSpPr/>
      </xdr:nvSpPr>
      <xdr:spPr>
        <a:xfrm rot="-5400000">
          <a:off x="5227447" y="2700020"/>
          <a:ext cx="182880" cy="182880"/>
        </a:xfrm>
        <a:prstGeom prst="triangle">
          <a:avLst/>
        </a:prstGeom>
        <a:solidFill>
          <a:srgbClr val="000080"/>
        </a:solidFill>
        <a:ln w="12700">
          <a:solidFill>
            <a:srgbClr val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oneCellAnchor>
    <xdr:from>
      <xdr:col>4</xdr:col>
      <xdr:colOff>276987</xdr:colOff>
      <xdr:row>14</xdr:row>
      <xdr:rowOff>87487</xdr:rowOff>
    </xdr:from>
    <xdr:ext cx="494944" cy="180627"/>
    <xdr:sp macro="_xll.PtreeEvent_ObjectClick" textlink="">
      <xdr:nvSpPr>
        <xdr:cNvPr id="138" name="PTObj_DBranchName_2_9"/>
        <xdr:cNvSpPr txBox="1"/>
      </xdr:nvSpPr>
      <xdr:spPr>
        <a:xfrm>
          <a:off x="3545967" y="2701147"/>
          <a:ext cx="494944" cy="180627"/>
        </a:xfrm>
        <a:prstGeom prst="rect">
          <a:avLst/>
        </a:prstGeom>
        <a:solidFill>
          <a:srgbClr val="FFFFFF"/>
        </a:solidFill>
        <a:ln w="9525" cmpd="sng">
          <a:solidFill>
            <a:srgbClr val="80808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wrap="none" lIns="27432" tIns="27432" rIns="27432" bIns="27432" rtlCol="0" anchor="ctr">
          <a:spAutoFit/>
        </a:bodyPr>
        <a:lstStyle/>
        <a:p>
          <a:pPr algn="ctr"/>
          <a:r>
            <a:rPr lang="en-US" sz="800"/>
            <a:t>Weak rival</a:t>
          </a:r>
        </a:p>
      </xdr:txBody>
    </xdr:sp>
    <xdr:clientData/>
  </xdr:oneCellAnchor>
  <xdr:twoCellAnchor editAs="oneCell">
    <xdr:from>
      <xdr:col>3</xdr:col>
      <xdr:colOff>127</xdr:colOff>
      <xdr:row>20</xdr:row>
      <xdr:rowOff>86360</xdr:rowOff>
    </xdr:from>
    <xdr:to>
      <xdr:col>3</xdr:col>
      <xdr:colOff>183007</xdr:colOff>
      <xdr:row>21</xdr:row>
      <xdr:rowOff>86360</xdr:rowOff>
    </xdr:to>
    <xdr:sp macro="_xll.PtreeEvent_ObjectClick" textlink="">
      <xdr:nvSpPr>
        <xdr:cNvPr id="143" name="PTObj_DNode_2_3"/>
        <xdr:cNvSpPr/>
      </xdr:nvSpPr>
      <xdr:spPr>
        <a:xfrm>
          <a:off x="2689987" y="3797300"/>
          <a:ext cx="182880" cy="182880"/>
        </a:xfrm>
        <a:prstGeom prst="ellipse">
          <a:avLst/>
        </a:prstGeom>
        <a:solidFill>
          <a:srgbClr val="800000"/>
        </a:solidFill>
        <a:ln w="12700">
          <a:solidFill>
            <a:srgbClr val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oneCellAnchor>
    <xdr:from>
      <xdr:col>2</xdr:col>
      <xdr:colOff>276987</xdr:colOff>
      <xdr:row>20</xdr:row>
      <xdr:rowOff>87487</xdr:rowOff>
    </xdr:from>
    <xdr:ext cx="472309" cy="180627"/>
    <xdr:sp macro="_xll.PtreeEvent_ObjectClick" textlink="">
      <xdr:nvSpPr>
        <xdr:cNvPr id="146" name="PTObj_DBranchName_2_3"/>
        <xdr:cNvSpPr txBox="1"/>
      </xdr:nvSpPr>
      <xdr:spPr>
        <a:xfrm>
          <a:off x="1671447" y="3798427"/>
          <a:ext cx="472309" cy="180627"/>
        </a:xfrm>
        <a:prstGeom prst="rect">
          <a:avLst/>
        </a:prstGeom>
        <a:solidFill>
          <a:schemeClr val="lt1"/>
        </a:solidFill>
        <a:ln w="9525" cmpd="sng">
          <a:solidFill>
            <a:srgbClr val="80808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wrap="none" lIns="27432" tIns="27432" rIns="27432" bIns="27432" rtlCol="0" anchor="ctr">
          <a:spAutoFit/>
        </a:bodyPr>
        <a:lstStyle/>
        <a:p>
          <a:pPr algn="ctr"/>
          <a:r>
            <a:rPr lang="en-US" sz="800"/>
            <a:t>Drop Deal</a:t>
          </a:r>
        </a:p>
      </xdr:txBody>
    </xdr:sp>
    <xdr:clientData/>
  </xdr:oneCellAnchor>
  <xdr:twoCellAnchor editAs="oneCell">
    <xdr:from>
      <xdr:col>4</xdr:col>
      <xdr:colOff>127</xdr:colOff>
      <xdr:row>18</xdr:row>
      <xdr:rowOff>86360</xdr:rowOff>
    </xdr:from>
    <xdr:to>
      <xdr:col>4</xdr:col>
      <xdr:colOff>183007</xdr:colOff>
      <xdr:row>19</xdr:row>
      <xdr:rowOff>86360</xdr:rowOff>
    </xdr:to>
    <xdr:sp macro="_xll.PtreeEvent_ObjectClick" textlink="">
      <xdr:nvSpPr>
        <xdr:cNvPr id="147" name="PTObj_DNode_2_10"/>
        <xdr:cNvSpPr/>
      </xdr:nvSpPr>
      <xdr:spPr>
        <a:xfrm rot="-5400000">
          <a:off x="4221607" y="3431540"/>
          <a:ext cx="182880" cy="182880"/>
        </a:xfrm>
        <a:prstGeom prst="triangle">
          <a:avLst/>
        </a:prstGeom>
        <a:solidFill>
          <a:srgbClr val="000080"/>
        </a:solidFill>
        <a:ln w="12700">
          <a:solidFill>
            <a:srgbClr val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oneCellAnchor>
    <xdr:from>
      <xdr:col>3</xdr:col>
      <xdr:colOff>276987</xdr:colOff>
      <xdr:row>18</xdr:row>
      <xdr:rowOff>87486</xdr:rowOff>
    </xdr:from>
    <xdr:ext cx="530530" cy="180627"/>
    <xdr:sp macro="_xll.PtreeEvent_ObjectClick" textlink="">
      <xdr:nvSpPr>
        <xdr:cNvPr id="150" name="PTObj_DBranchName_2_10"/>
        <xdr:cNvSpPr txBox="1"/>
      </xdr:nvSpPr>
      <xdr:spPr>
        <a:xfrm>
          <a:off x="2974467" y="3432666"/>
          <a:ext cx="530530" cy="180627"/>
        </a:xfrm>
        <a:prstGeom prst="rect">
          <a:avLst/>
        </a:prstGeom>
        <a:solidFill>
          <a:schemeClr val="lt1"/>
        </a:solidFill>
        <a:ln w="9525" cmpd="sng">
          <a:solidFill>
            <a:srgbClr val="80808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wrap="none" lIns="27432" tIns="27432" rIns="27432" bIns="27432" rtlCol="0" anchor="ctr">
          <a:spAutoFit/>
        </a:bodyPr>
        <a:lstStyle/>
        <a:p>
          <a:pPr algn="ctr"/>
          <a:r>
            <a:rPr lang="en-US" sz="800"/>
            <a:t>Strong rival</a:t>
          </a:r>
        </a:p>
      </xdr:txBody>
    </xdr:sp>
    <xdr:clientData/>
  </xdr:oneCellAnchor>
  <xdr:twoCellAnchor editAs="oneCell">
    <xdr:from>
      <xdr:col>4</xdr:col>
      <xdr:colOff>127</xdr:colOff>
      <xdr:row>22</xdr:row>
      <xdr:rowOff>86360</xdr:rowOff>
    </xdr:from>
    <xdr:to>
      <xdr:col>4</xdr:col>
      <xdr:colOff>183007</xdr:colOff>
      <xdr:row>23</xdr:row>
      <xdr:rowOff>86360</xdr:rowOff>
    </xdr:to>
    <xdr:sp macro="_xll.PtreeEvent_ObjectClick" textlink="">
      <xdr:nvSpPr>
        <xdr:cNvPr id="151" name="PTObj_DNode_2_11"/>
        <xdr:cNvSpPr/>
      </xdr:nvSpPr>
      <xdr:spPr>
        <a:xfrm rot="-5400000">
          <a:off x="4221607" y="4163060"/>
          <a:ext cx="182880" cy="182880"/>
        </a:xfrm>
        <a:prstGeom prst="triangle">
          <a:avLst/>
        </a:prstGeom>
        <a:solidFill>
          <a:srgbClr val="000080"/>
        </a:solidFill>
        <a:ln w="12700">
          <a:solidFill>
            <a:srgbClr val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oneCellAnchor>
    <xdr:from>
      <xdr:col>3</xdr:col>
      <xdr:colOff>276987</xdr:colOff>
      <xdr:row>22</xdr:row>
      <xdr:rowOff>87487</xdr:rowOff>
    </xdr:from>
    <xdr:ext cx="494944" cy="180627"/>
    <xdr:sp macro="_xll.PtreeEvent_ObjectClick" textlink="">
      <xdr:nvSpPr>
        <xdr:cNvPr id="154" name="PTObj_DBranchName_2_11"/>
        <xdr:cNvSpPr txBox="1"/>
      </xdr:nvSpPr>
      <xdr:spPr>
        <a:xfrm>
          <a:off x="2471547" y="4164187"/>
          <a:ext cx="494944" cy="180627"/>
        </a:xfrm>
        <a:prstGeom prst="rect">
          <a:avLst/>
        </a:prstGeom>
        <a:solidFill>
          <a:schemeClr val="lt1"/>
        </a:solidFill>
        <a:ln w="9525" cmpd="sng">
          <a:solidFill>
            <a:srgbClr val="80808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wrap="none" lIns="27432" tIns="27432" rIns="27432" bIns="27432" rtlCol="0" anchor="ctr">
          <a:spAutoFit/>
        </a:bodyPr>
        <a:lstStyle/>
        <a:p>
          <a:pPr algn="ctr"/>
          <a:r>
            <a:rPr lang="en-US" sz="800"/>
            <a:t>Weak rival</a:t>
          </a:r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91440</xdr:colOff>
      <xdr:row>0</xdr:row>
      <xdr:rowOff>38100</xdr:rowOff>
    </xdr:from>
    <xdr:to>
      <xdr:col>18</xdr:col>
      <xdr:colOff>40640</xdr:colOff>
      <xdr:row>30</xdr:row>
      <xdr:rowOff>0</xdr:rowOff>
    </xdr:to>
    <xdr:graphicFrame macro="">
      <xdr:nvGraphicFramePr>
        <xdr:cNvPr id="9" name="Chart 8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0</xdr:col>
      <xdr:colOff>0</xdr:colOff>
      <xdr:row>0</xdr:row>
      <xdr:rowOff>0</xdr:rowOff>
    </xdr:from>
    <xdr:to>
      <xdr:col>8</xdr:col>
      <xdr:colOff>558800</xdr:colOff>
      <xdr:row>29</xdr:row>
      <xdr:rowOff>176530</xdr:rowOff>
    </xdr:to>
    <xdr:graphicFrame macro="">
      <xdr:nvGraphicFramePr>
        <xdr:cNvPr id="10" name="Chart 9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oneCell">
    <xdr:from>
      <xdr:col>0</xdr:col>
      <xdr:colOff>0</xdr:colOff>
      <xdr:row>49</xdr:row>
      <xdr:rowOff>0</xdr:rowOff>
    </xdr:from>
    <xdr:to>
      <xdr:col>8</xdr:col>
      <xdr:colOff>558800</xdr:colOff>
      <xdr:row>69</xdr:row>
      <xdr:rowOff>176530</xdr:rowOff>
    </xdr:to>
    <xdr:graphicFrame macro="">
      <xdr:nvGraphicFramePr>
        <xdr:cNvPr id="11" name="Chart 10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 editAs="oneCell">
    <xdr:from>
      <xdr:col>0</xdr:col>
      <xdr:colOff>0</xdr:colOff>
      <xdr:row>70</xdr:row>
      <xdr:rowOff>0</xdr:rowOff>
    </xdr:from>
    <xdr:to>
      <xdr:col>8</xdr:col>
      <xdr:colOff>558800</xdr:colOff>
      <xdr:row>90</xdr:row>
      <xdr:rowOff>176530</xdr:rowOff>
    </xdr:to>
    <xdr:graphicFrame macro="">
      <xdr:nvGraphicFramePr>
        <xdr:cNvPr id="12" name="Chart 1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 editAs="oneCell">
    <xdr:from>
      <xdr:col>0</xdr:col>
      <xdr:colOff>0</xdr:colOff>
      <xdr:row>91</xdr:row>
      <xdr:rowOff>0</xdr:rowOff>
    </xdr:from>
    <xdr:to>
      <xdr:col>8</xdr:col>
      <xdr:colOff>558800</xdr:colOff>
      <xdr:row>111</xdr:row>
      <xdr:rowOff>176530</xdr:rowOff>
    </xdr:to>
    <xdr:graphicFrame macro="">
      <xdr:nvGraphicFramePr>
        <xdr:cNvPr id="13" name="Chart 1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 editAs="oneCell">
    <xdr:from>
      <xdr:col>0</xdr:col>
      <xdr:colOff>0</xdr:colOff>
      <xdr:row>112</xdr:row>
      <xdr:rowOff>0</xdr:rowOff>
    </xdr:from>
    <xdr:to>
      <xdr:col>8</xdr:col>
      <xdr:colOff>558800</xdr:colOff>
      <xdr:row>132</xdr:row>
      <xdr:rowOff>176530</xdr:rowOff>
    </xdr:to>
    <xdr:graphicFrame macro="">
      <xdr:nvGraphicFramePr>
        <xdr:cNvPr id="14" name="Chart 1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 editAs="oneCell">
    <xdr:from>
      <xdr:col>0</xdr:col>
      <xdr:colOff>0</xdr:colOff>
      <xdr:row>133</xdr:row>
      <xdr:rowOff>0</xdr:rowOff>
    </xdr:from>
    <xdr:to>
      <xdr:col>8</xdr:col>
      <xdr:colOff>558800</xdr:colOff>
      <xdr:row>153</xdr:row>
      <xdr:rowOff>176530</xdr:rowOff>
    </xdr:to>
    <xdr:graphicFrame macro="">
      <xdr:nvGraphicFramePr>
        <xdr:cNvPr id="15" name="Chart 1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 editAs="oneCell">
    <xdr:from>
      <xdr:col>0</xdr:col>
      <xdr:colOff>0</xdr:colOff>
      <xdr:row>154</xdr:row>
      <xdr:rowOff>0</xdr:rowOff>
    </xdr:from>
    <xdr:to>
      <xdr:col>8</xdr:col>
      <xdr:colOff>558800</xdr:colOff>
      <xdr:row>174</xdr:row>
      <xdr:rowOff>176530</xdr:rowOff>
    </xdr:to>
    <xdr:graphicFrame macro="">
      <xdr:nvGraphicFramePr>
        <xdr:cNvPr id="16" name="Chart 1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</xdr:wsDr>
</file>

<file path=xl/drawings/drawing3.xml><?xml version="1.0" encoding="utf-8"?>
<c:userShapes xmlns:c="http://schemas.openxmlformats.org/drawingml/2006/chart">
  <cdr:relSizeAnchor xmlns:cdr="http://schemas.openxmlformats.org/drawingml/2006/chartDrawing">
    <cdr:from>
      <cdr:x>0.05607</cdr:x>
      <cdr:y>0.4467</cdr:y>
    </cdr:from>
    <cdr:to>
      <cdr:x>0.95327</cdr:x>
      <cdr:y>0.56257</cdr:y>
    </cdr:to>
    <cdr:sp macro="[4]!PtreeEvent_WatermarkClick" textlink="">
      <cdr:nvSpPr>
        <cdr:cNvPr id="2" name="gwm_12105          "/>
        <cdr:cNvSpPr txBox="1"/>
      </cdr:nvSpPr>
      <cdr:spPr>
        <a:xfrm xmlns:a="http://schemas.openxmlformats.org/drawingml/2006/main">
          <a:off x="304800" y="2447925"/>
          <a:ext cx="4876800" cy="6350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square" rtlCol="0" anchor="ctr">
          <a:noAutofit/>
        </a:bodyPr>
        <a:lstStyle xmlns:a="http://schemas.openxmlformats.org/drawingml/2006/main"/>
        <a:p xmlns:a="http://schemas.openxmlformats.org/drawingml/2006/main">
          <a:pPr algn="ctr"/>
          <a:r>
            <a:rPr lang="en-US" sz="1400" b="0" i="0">
              <a:solidFill>
                <a:srgbClr val="C0C0C0"/>
              </a:solidFill>
              <a:latin typeface="Arial"/>
            </a:rPr>
            <a:t>PrecisionTree Course Version
</a:t>
          </a:r>
          <a:r>
            <a:rPr lang="en-US" sz="1000" b="0" i="0">
              <a:solidFill>
                <a:srgbClr val="C0C0C0"/>
              </a:solidFill>
              <a:latin typeface="Arial"/>
            </a:rPr>
            <a:t>Univ of Wisconsin, Madison</a:t>
          </a:r>
        </a:p>
      </cdr:txBody>
    </cdr:sp>
  </cdr:relSizeAnchor>
  <cdr:relSizeAnchor xmlns:cdr="http://schemas.openxmlformats.org/drawingml/2006/chartDrawing">
    <cdr:from>
      <cdr:x>0.05607</cdr:x>
      <cdr:y>0.4467</cdr:y>
    </cdr:from>
    <cdr:to>
      <cdr:x>0.95327</cdr:x>
      <cdr:y>0.56257</cdr:y>
    </cdr:to>
    <cdr:sp macro="[4]!PtreeEvent_WatermarkClick" textlink="">
      <cdr:nvSpPr>
        <cdr:cNvPr id="3" name="gwm_12105         "/>
        <cdr:cNvSpPr txBox="1"/>
      </cdr:nvSpPr>
      <cdr:spPr>
        <a:xfrm xmlns:a="http://schemas.openxmlformats.org/drawingml/2006/main">
          <a:off x="304800" y="2447925"/>
          <a:ext cx="4876800" cy="6350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square" rtlCol="0" anchor="ctr">
          <a:noAutofit/>
        </a:bodyPr>
        <a:lstStyle xmlns:a="http://schemas.openxmlformats.org/drawingml/2006/main"/>
        <a:p xmlns:a="http://schemas.openxmlformats.org/drawingml/2006/main">
          <a:pPr algn="ctr"/>
          <a:r>
            <a:rPr lang="en-US" sz="1400" b="0" i="0">
              <a:solidFill>
                <a:srgbClr val="C0C0C0"/>
              </a:solidFill>
              <a:latin typeface="Arial"/>
            </a:rPr>
            <a:t>PrecisionTree Course Version
</a:t>
          </a:r>
          <a:r>
            <a:rPr lang="en-US" sz="1000" b="0" i="0">
              <a:solidFill>
                <a:srgbClr val="C0C0C0"/>
              </a:solidFill>
              <a:latin typeface="Arial"/>
            </a:rPr>
            <a:t>Univ of Wisconsin, Madison</a:t>
          </a:r>
        </a:p>
      </cdr:txBody>
    </cdr:sp>
  </cdr:relSizeAnchor>
  <cdr:relSizeAnchor xmlns:cdr="http://schemas.openxmlformats.org/drawingml/2006/chartDrawing">
    <cdr:from>
      <cdr:x>0.05607</cdr:x>
      <cdr:y>0.4467</cdr:y>
    </cdr:from>
    <cdr:to>
      <cdr:x>0.95327</cdr:x>
      <cdr:y>0.56257</cdr:y>
    </cdr:to>
    <cdr:sp macro="[4]!PtreeEvent_WatermarkClick" textlink="">
      <cdr:nvSpPr>
        <cdr:cNvPr id="4" name="gwm_12105        "/>
        <cdr:cNvSpPr txBox="1"/>
      </cdr:nvSpPr>
      <cdr:spPr>
        <a:xfrm xmlns:a="http://schemas.openxmlformats.org/drawingml/2006/main">
          <a:off x="304800" y="2447925"/>
          <a:ext cx="4876800" cy="6350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square" rtlCol="0" anchor="ctr">
          <a:noAutofit/>
        </a:bodyPr>
        <a:lstStyle xmlns:a="http://schemas.openxmlformats.org/drawingml/2006/main"/>
        <a:p xmlns:a="http://schemas.openxmlformats.org/drawingml/2006/main">
          <a:pPr algn="ctr"/>
          <a:r>
            <a:rPr lang="en-US" sz="1400" b="0" i="0">
              <a:solidFill>
                <a:srgbClr val="C0C0C0"/>
              </a:solidFill>
              <a:latin typeface="Arial"/>
            </a:rPr>
            <a:t>PrecisionTree Course Version
</a:t>
          </a:r>
          <a:r>
            <a:rPr lang="en-US" sz="1000" b="0" i="0">
              <a:solidFill>
                <a:srgbClr val="C0C0C0"/>
              </a:solidFill>
              <a:latin typeface="Arial"/>
            </a:rPr>
            <a:t>Univ of Wisconsin, Madison</a:t>
          </a:r>
        </a:p>
      </cdr:txBody>
    </cdr:sp>
  </cdr:relSizeAnchor>
  <cdr:relSizeAnchor xmlns:cdr="http://schemas.openxmlformats.org/drawingml/2006/chartDrawing">
    <cdr:from>
      <cdr:x>0.05607</cdr:x>
      <cdr:y>0.4467</cdr:y>
    </cdr:from>
    <cdr:to>
      <cdr:x>0.95327</cdr:x>
      <cdr:y>0.56257</cdr:y>
    </cdr:to>
    <cdr:sp macro="[4]!PtreeEvent_WatermarkClick" textlink="">
      <cdr:nvSpPr>
        <cdr:cNvPr id="5" name="gwm_12105       "/>
        <cdr:cNvSpPr txBox="1"/>
      </cdr:nvSpPr>
      <cdr:spPr>
        <a:xfrm xmlns:a="http://schemas.openxmlformats.org/drawingml/2006/main">
          <a:off x="304800" y="2447925"/>
          <a:ext cx="4876800" cy="6350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square" rtlCol="0" anchor="ctr">
          <a:noAutofit/>
        </a:bodyPr>
        <a:lstStyle xmlns:a="http://schemas.openxmlformats.org/drawingml/2006/main"/>
        <a:p xmlns:a="http://schemas.openxmlformats.org/drawingml/2006/main">
          <a:pPr algn="ctr"/>
          <a:r>
            <a:rPr lang="en-US" sz="1400" b="0" i="0">
              <a:solidFill>
                <a:srgbClr val="C0C0C0"/>
              </a:solidFill>
              <a:latin typeface="Arial"/>
            </a:rPr>
            <a:t>PrecisionTree Course Version
</a:t>
          </a:r>
          <a:r>
            <a:rPr lang="en-US" sz="1000" b="0" i="0">
              <a:solidFill>
                <a:srgbClr val="C0C0C0"/>
              </a:solidFill>
              <a:latin typeface="Arial"/>
            </a:rPr>
            <a:t>Univ of Wisconsin, Madison</a:t>
          </a:r>
        </a:p>
      </cdr:txBody>
    </cdr:sp>
  </cdr:relSizeAnchor>
  <cdr:relSizeAnchor xmlns:cdr="http://schemas.openxmlformats.org/drawingml/2006/chartDrawing">
    <cdr:from>
      <cdr:x>0.05607</cdr:x>
      <cdr:y>0.4467</cdr:y>
    </cdr:from>
    <cdr:to>
      <cdr:x>0.95327</cdr:x>
      <cdr:y>0.56257</cdr:y>
    </cdr:to>
    <cdr:sp macro="[4]!PtreeEvent_WatermarkClick" textlink="">
      <cdr:nvSpPr>
        <cdr:cNvPr id="6" name="gwm_12105      "/>
        <cdr:cNvSpPr txBox="1"/>
      </cdr:nvSpPr>
      <cdr:spPr>
        <a:xfrm xmlns:a="http://schemas.openxmlformats.org/drawingml/2006/main">
          <a:off x="304800" y="2447925"/>
          <a:ext cx="4876800" cy="6350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square" rtlCol="0" anchor="ctr">
          <a:noAutofit/>
        </a:bodyPr>
        <a:lstStyle xmlns:a="http://schemas.openxmlformats.org/drawingml/2006/main"/>
        <a:p xmlns:a="http://schemas.openxmlformats.org/drawingml/2006/main">
          <a:pPr algn="ctr"/>
          <a:r>
            <a:rPr lang="en-US" sz="1400" b="0" i="0">
              <a:solidFill>
                <a:srgbClr val="C0C0C0"/>
              </a:solidFill>
              <a:latin typeface="Arial"/>
            </a:rPr>
            <a:t>PrecisionTree Course Version
</a:t>
          </a:r>
          <a:r>
            <a:rPr lang="en-US" sz="1000" b="0" i="0">
              <a:solidFill>
                <a:srgbClr val="C0C0C0"/>
              </a:solidFill>
              <a:latin typeface="Arial"/>
            </a:rPr>
            <a:t>Univ of Wisconsin, Madison</a:t>
          </a:r>
        </a:p>
      </cdr:txBody>
    </cdr:sp>
  </cdr:relSizeAnchor>
</c:userShapes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0.05607</cdr:x>
      <cdr:y>0.4467</cdr:y>
    </cdr:from>
    <cdr:to>
      <cdr:x>0.95327</cdr:x>
      <cdr:y>0.56257</cdr:y>
    </cdr:to>
    <cdr:sp macro="[4]!PtreeEvent_WatermarkClick" textlink="">
      <cdr:nvSpPr>
        <cdr:cNvPr id="2" name="gwm_8020          "/>
        <cdr:cNvSpPr txBox="1"/>
      </cdr:nvSpPr>
      <cdr:spPr>
        <a:xfrm xmlns:a="http://schemas.openxmlformats.org/drawingml/2006/main">
          <a:off x="304800" y="2447925"/>
          <a:ext cx="4876800" cy="6350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square" rtlCol="0" anchor="ctr">
          <a:noAutofit/>
        </a:bodyPr>
        <a:lstStyle xmlns:a="http://schemas.openxmlformats.org/drawingml/2006/main"/>
        <a:p xmlns:a="http://schemas.openxmlformats.org/drawingml/2006/main">
          <a:pPr algn="ctr"/>
          <a:r>
            <a:rPr lang="en-US" sz="1400" b="0" i="0">
              <a:solidFill>
                <a:srgbClr val="C0C0C0"/>
              </a:solidFill>
              <a:latin typeface="Arial"/>
            </a:rPr>
            <a:t>PrecisionTree Course Version
</a:t>
          </a:r>
          <a:r>
            <a:rPr lang="en-US" sz="1000" b="0" i="0">
              <a:solidFill>
                <a:srgbClr val="C0C0C0"/>
              </a:solidFill>
              <a:latin typeface="Arial"/>
            </a:rPr>
            <a:t>Univ of Wisconsin, Madison</a:t>
          </a:r>
        </a:p>
      </cdr:txBody>
    </cdr:sp>
  </cdr:relSizeAnchor>
  <cdr:relSizeAnchor xmlns:cdr="http://schemas.openxmlformats.org/drawingml/2006/chartDrawing">
    <cdr:from>
      <cdr:x>0.05607</cdr:x>
      <cdr:y>0.4467</cdr:y>
    </cdr:from>
    <cdr:to>
      <cdr:x>0.95327</cdr:x>
      <cdr:y>0.56257</cdr:y>
    </cdr:to>
    <cdr:sp macro="[4]!PtreeEvent_WatermarkClick" textlink="">
      <cdr:nvSpPr>
        <cdr:cNvPr id="3" name="gwm_8020         "/>
        <cdr:cNvSpPr txBox="1"/>
      </cdr:nvSpPr>
      <cdr:spPr>
        <a:xfrm xmlns:a="http://schemas.openxmlformats.org/drawingml/2006/main">
          <a:off x="304800" y="2447925"/>
          <a:ext cx="4876800" cy="6350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square" rtlCol="0" anchor="ctr">
          <a:noAutofit/>
        </a:bodyPr>
        <a:lstStyle xmlns:a="http://schemas.openxmlformats.org/drawingml/2006/main"/>
        <a:p xmlns:a="http://schemas.openxmlformats.org/drawingml/2006/main">
          <a:pPr algn="ctr"/>
          <a:r>
            <a:rPr lang="en-US" sz="1400" b="0" i="0">
              <a:solidFill>
                <a:srgbClr val="C0C0C0"/>
              </a:solidFill>
              <a:latin typeface="Arial"/>
            </a:rPr>
            <a:t>PrecisionTree Course Version
</a:t>
          </a:r>
          <a:r>
            <a:rPr lang="en-US" sz="1000" b="0" i="0">
              <a:solidFill>
                <a:srgbClr val="C0C0C0"/>
              </a:solidFill>
              <a:latin typeface="Arial"/>
            </a:rPr>
            <a:t>Univ of Wisconsin, Madison</a:t>
          </a:r>
        </a:p>
      </cdr:txBody>
    </cdr:sp>
  </cdr:relSizeAnchor>
  <cdr:relSizeAnchor xmlns:cdr="http://schemas.openxmlformats.org/drawingml/2006/chartDrawing">
    <cdr:from>
      <cdr:x>0.05607</cdr:x>
      <cdr:y>0.4467</cdr:y>
    </cdr:from>
    <cdr:to>
      <cdr:x>0.95327</cdr:x>
      <cdr:y>0.56257</cdr:y>
    </cdr:to>
    <cdr:sp macro="[4]!PtreeEvent_WatermarkClick" textlink="">
      <cdr:nvSpPr>
        <cdr:cNvPr id="4" name="gwm_8020        "/>
        <cdr:cNvSpPr txBox="1"/>
      </cdr:nvSpPr>
      <cdr:spPr>
        <a:xfrm xmlns:a="http://schemas.openxmlformats.org/drawingml/2006/main">
          <a:off x="304800" y="2447925"/>
          <a:ext cx="4876800" cy="6350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square" rtlCol="0" anchor="ctr">
          <a:noAutofit/>
        </a:bodyPr>
        <a:lstStyle xmlns:a="http://schemas.openxmlformats.org/drawingml/2006/main"/>
        <a:p xmlns:a="http://schemas.openxmlformats.org/drawingml/2006/main">
          <a:pPr algn="ctr"/>
          <a:r>
            <a:rPr lang="en-US" sz="1400" b="0" i="0">
              <a:solidFill>
                <a:srgbClr val="C0C0C0"/>
              </a:solidFill>
              <a:latin typeface="Arial"/>
            </a:rPr>
            <a:t>PrecisionTree Course Version
</a:t>
          </a:r>
          <a:r>
            <a:rPr lang="en-US" sz="1000" b="0" i="0">
              <a:solidFill>
                <a:srgbClr val="C0C0C0"/>
              </a:solidFill>
              <a:latin typeface="Arial"/>
            </a:rPr>
            <a:t>Univ of Wisconsin, Madison</a:t>
          </a:r>
        </a:p>
      </cdr:txBody>
    </cdr:sp>
  </cdr:relSizeAnchor>
  <cdr:relSizeAnchor xmlns:cdr="http://schemas.openxmlformats.org/drawingml/2006/chartDrawing">
    <cdr:from>
      <cdr:x>0.05607</cdr:x>
      <cdr:y>0.4467</cdr:y>
    </cdr:from>
    <cdr:to>
      <cdr:x>0.95327</cdr:x>
      <cdr:y>0.56257</cdr:y>
    </cdr:to>
    <cdr:sp macro="[4]!PtreeEvent_WatermarkClick" textlink="">
      <cdr:nvSpPr>
        <cdr:cNvPr id="5" name="gwm_8020       "/>
        <cdr:cNvSpPr txBox="1"/>
      </cdr:nvSpPr>
      <cdr:spPr>
        <a:xfrm xmlns:a="http://schemas.openxmlformats.org/drawingml/2006/main">
          <a:off x="304800" y="2447925"/>
          <a:ext cx="4876800" cy="6350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square" rtlCol="0" anchor="ctr">
          <a:noAutofit/>
        </a:bodyPr>
        <a:lstStyle xmlns:a="http://schemas.openxmlformats.org/drawingml/2006/main"/>
        <a:p xmlns:a="http://schemas.openxmlformats.org/drawingml/2006/main">
          <a:pPr algn="ctr"/>
          <a:r>
            <a:rPr lang="en-US" sz="1400" b="0" i="0">
              <a:solidFill>
                <a:srgbClr val="C0C0C0"/>
              </a:solidFill>
              <a:latin typeface="Arial"/>
            </a:rPr>
            <a:t>PrecisionTree Course Version
</a:t>
          </a:r>
          <a:r>
            <a:rPr lang="en-US" sz="1000" b="0" i="0">
              <a:solidFill>
                <a:srgbClr val="C0C0C0"/>
              </a:solidFill>
              <a:latin typeface="Arial"/>
            </a:rPr>
            <a:t>Univ of Wisconsin, Madison</a:t>
          </a:r>
        </a:p>
      </cdr:txBody>
    </cdr:sp>
  </cdr:relSizeAnchor>
  <cdr:relSizeAnchor xmlns:cdr="http://schemas.openxmlformats.org/drawingml/2006/chartDrawing">
    <cdr:from>
      <cdr:x>0.05607</cdr:x>
      <cdr:y>0.4467</cdr:y>
    </cdr:from>
    <cdr:to>
      <cdr:x>0.95327</cdr:x>
      <cdr:y>0.56257</cdr:y>
    </cdr:to>
    <cdr:sp macro="[4]!PtreeEvent_WatermarkClick" textlink="">
      <cdr:nvSpPr>
        <cdr:cNvPr id="6" name="gwm_8020      "/>
        <cdr:cNvSpPr txBox="1"/>
      </cdr:nvSpPr>
      <cdr:spPr>
        <a:xfrm xmlns:a="http://schemas.openxmlformats.org/drawingml/2006/main">
          <a:off x="304800" y="2447925"/>
          <a:ext cx="4876800" cy="6350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square" rtlCol="0" anchor="ctr">
          <a:noAutofit/>
        </a:bodyPr>
        <a:lstStyle xmlns:a="http://schemas.openxmlformats.org/drawingml/2006/main"/>
        <a:p xmlns:a="http://schemas.openxmlformats.org/drawingml/2006/main">
          <a:pPr algn="ctr"/>
          <a:r>
            <a:rPr lang="en-US" sz="1400" b="0" i="0">
              <a:solidFill>
                <a:srgbClr val="C0C0C0"/>
              </a:solidFill>
              <a:latin typeface="Arial"/>
            </a:rPr>
            <a:t>PrecisionTree Course Version
</a:t>
          </a:r>
          <a:r>
            <a:rPr lang="en-US" sz="1000" b="0" i="0">
              <a:solidFill>
                <a:srgbClr val="C0C0C0"/>
              </a:solidFill>
              <a:latin typeface="Arial"/>
            </a:rPr>
            <a:t>Univ of Wisconsin, Madison</a:t>
          </a:r>
        </a:p>
      </cdr:txBody>
    </cdr:sp>
  </cdr:relSizeAnchor>
</c:userShapes>
</file>

<file path=xl/drawings/drawing5.xml><?xml version="1.0" encoding="utf-8"?>
<c:userShapes xmlns:c="http://schemas.openxmlformats.org/drawingml/2006/chart">
  <cdr:relSizeAnchor xmlns:cdr="http://schemas.openxmlformats.org/drawingml/2006/chartDrawing">
    <cdr:from>
      <cdr:x>0.05607</cdr:x>
      <cdr:y>0.42382</cdr:y>
    </cdr:from>
    <cdr:to>
      <cdr:x>0.95327</cdr:x>
      <cdr:y>0.58943</cdr:y>
    </cdr:to>
    <cdr:sp macro="[4]!PtreeEvent_WatermarkClick" textlink="">
      <cdr:nvSpPr>
        <cdr:cNvPr id="2" name="gwm_31471          "/>
        <cdr:cNvSpPr txBox="1"/>
      </cdr:nvSpPr>
      <cdr:spPr>
        <a:xfrm xmlns:a="http://schemas.openxmlformats.org/drawingml/2006/main">
          <a:off x="304800" y="1624965"/>
          <a:ext cx="4876800" cy="6350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square" rtlCol="0" anchor="ctr">
          <a:noAutofit/>
        </a:bodyPr>
        <a:lstStyle xmlns:a="http://schemas.openxmlformats.org/drawingml/2006/main"/>
        <a:p xmlns:a="http://schemas.openxmlformats.org/drawingml/2006/main">
          <a:pPr algn="ctr"/>
          <a:r>
            <a:rPr lang="en-US" sz="1400" b="0" i="0">
              <a:solidFill>
                <a:srgbClr val="C0C0C0"/>
              </a:solidFill>
              <a:latin typeface="Arial"/>
            </a:rPr>
            <a:t>PrecisionTree Course Version
</a:t>
          </a:r>
          <a:r>
            <a:rPr lang="en-US" sz="1000" b="0" i="0">
              <a:solidFill>
                <a:srgbClr val="C0C0C0"/>
              </a:solidFill>
              <a:latin typeface="Arial"/>
            </a:rPr>
            <a:t>Univ of Wisconsin, Madison</a:t>
          </a:r>
        </a:p>
      </cdr:txBody>
    </cdr:sp>
  </cdr:relSizeAnchor>
  <cdr:relSizeAnchor xmlns:cdr="http://schemas.openxmlformats.org/drawingml/2006/chartDrawing">
    <cdr:from>
      <cdr:x>0.05607</cdr:x>
      <cdr:y>0.42382</cdr:y>
    </cdr:from>
    <cdr:to>
      <cdr:x>0.95327</cdr:x>
      <cdr:y>0.58943</cdr:y>
    </cdr:to>
    <cdr:sp macro="[4]!PtreeEvent_WatermarkClick" textlink="">
      <cdr:nvSpPr>
        <cdr:cNvPr id="3" name="gwm_31471         "/>
        <cdr:cNvSpPr txBox="1"/>
      </cdr:nvSpPr>
      <cdr:spPr>
        <a:xfrm xmlns:a="http://schemas.openxmlformats.org/drawingml/2006/main">
          <a:off x="304800" y="1624965"/>
          <a:ext cx="4876800" cy="6350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square" rtlCol="0" anchor="ctr">
          <a:noAutofit/>
        </a:bodyPr>
        <a:lstStyle xmlns:a="http://schemas.openxmlformats.org/drawingml/2006/main"/>
        <a:p xmlns:a="http://schemas.openxmlformats.org/drawingml/2006/main">
          <a:pPr algn="ctr"/>
          <a:r>
            <a:rPr lang="en-US" sz="1400" b="0" i="0">
              <a:solidFill>
                <a:srgbClr val="C0C0C0"/>
              </a:solidFill>
              <a:latin typeface="Arial"/>
            </a:rPr>
            <a:t>PrecisionTree Course Version
</a:t>
          </a:r>
          <a:r>
            <a:rPr lang="en-US" sz="1000" b="0" i="0">
              <a:solidFill>
                <a:srgbClr val="C0C0C0"/>
              </a:solidFill>
              <a:latin typeface="Arial"/>
            </a:rPr>
            <a:t>Univ of Wisconsin, Madison</a:t>
          </a:r>
        </a:p>
      </cdr:txBody>
    </cdr:sp>
  </cdr:relSizeAnchor>
  <cdr:relSizeAnchor xmlns:cdr="http://schemas.openxmlformats.org/drawingml/2006/chartDrawing">
    <cdr:from>
      <cdr:x>0.05607</cdr:x>
      <cdr:y>0.42382</cdr:y>
    </cdr:from>
    <cdr:to>
      <cdr:x>0.95327</cdr:x>
      <cdr:y>0.58943</cdr:y>
    </cdr:to>
    <cdr:sp macro="[4]!PtreeEvent_WatermarkClick" textlink="">
      <cdr:nvSpPr>
        <cdr:cNvPr id="4" name="gwm_31471        "/>
        <cdr:cNvSpPr txBox="1"/>
      </cdr:nvSpPr>
      <cdr:spPr>
        <a:xfrm xmlns:a="http://schemas.openxmlformats.org/drawingml/2006/main">
          <a:off x="304800" y="1624965"/>
          <a:ext cx="4876800" cy="6350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square" rtlCol="0" anchor="ctr">
          <a:noAutofit/>
        </a:bodyPr>
        <a:lstStyle xmlns:a="http://schemas.openxmlformats.org/drawingml/2006/main"/>
        <a:p xmlns:a="http://schemas.openxmlformats.org/drawingml/2006/main">
          <a:pPr algn="ctr"/>
          <a:r>
            <a:rPr lang="en-US" sz="1400" b="0" i="0">
              <a:solidFill>
                <a:srgbClr val="C0C0C0"/>
              </a:solidFill>
              <a:latin typeface="Arial"/>
            </a:rPr>
            <a:t>PrecisionTree Course Version
</a:t>
          </a:r>
          <a:r>
            <a:rPr lang="en-US" sz="1000" b="0" i="0">
              <a:solidFill>
                <a:srgbClr val="C0C0C0"/>
              </a:solidFill>
              <a:latin typeface="Arial"/>
            </a:rPr>
            <a:t>Univ of Wisconsin, Madison</a:t>
          </a:r>
        </a:p>
      </cdr:txBody>
    </cdr:sp>
  </cdr:relSizeAnchor>
  <cdr:relSizeAnchor xmlns:cdr="http://schemas.openxmlformats.org/drawingml/2006/chartDrawing">
    <cdr:from>
      <cdr:x>0.05607</cdr:x>
      <cdr:y>0.42382</cdr:y>
    </cdr:from>
    <cdr:to>
      <cdr:x>0.95327</cdr:x>
      <cdr:y>0.58943</cdr:y>
    </cdr:to>
    <cdr:sp macro="[4]!PtreeEvent_WatermarkClick" textlink="">
      <cdr:nvSpPr>
        <cdr:cNvPr id="5" name="gwm_31471       "/>
        <cdr:cNvSpPr txBox="1"/>
      </cdr:nvSpPr>
      <cdr:spPr>
        <a:xfrm xmlns:a="http://schemas.openxmlformats.org/drawingml/2006/main">
          <a:off x="304800" y="1624965"/>
          <a:ext cx="4876800" cy="6350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square" rtlCol="0" anchor="ctr">
          <a:noAutofit/>
        </a:bodyPr>
        <a:lstStyle xmlns:a="http://schemas.openxmlformats.org/drawingml/2006/main"/>
        <a:p xmlns:a="http://schemas.openxmlformats.org/drawingml/2006/main">
          <a:pPr algn="ctr"/>
          <a:r>
            <a:rPr lang="en-US" sz="1400" b="0" i="0">
              <a:solidFill>
                <a:srgbClr val="C0C0C0"/>
              </a:solidFill>
              <a:latin typeface="Arial"/>
            </a:rPr>
            <a:t>PrecisionTree Course Version
</a:t>
          </a:r>
          <a:r>
            <a:rPr lang="en-US" sz="1000" b="0" i="0">
              <a:solidFill>
                <a:srgbClr val="C0C0C0"/>
              </a:solidFill>
              <a:latin typeface="Arial"/>
            </a:rPr>
            <a:t>Univ of Wisconsin, Madison</a:t>
          </a:r>
        </a:p>
      </cdr:txBody>
    </cdr:sp>
  </cdr:relSizeAnchor>
  <cdr:relSizeAnchor xmlns:cdr="http://schemas.openxmlformats.org/drawingml/2006/chartDrawing">
    <cdr:from>
      <cdr:x>0.05607</cdr:x>
      <cdr:y>0.42382</cdr:y>
    </cdr:from>
    <cdr:to>
      <cdr:x>0.95327</cdr:x>
      <cdr:y>0.58943</cdr:y>
    </cdr:to>
    <cdr:sp macro="[4]!PtreeEvent_WatermarkClick" textlink="">
      <cdr:nvSpPr>
        <cdr:cNvPr id="6" name="gwm_31471      "/>
        <cdr:cNvSpPr txBox="1"/>
      </cdr:nvSpPr>
      <cdr:spPr>
        <a:xfrm xmlns:a="http://schemas.openxmlformats.org/drawingml/2006/main">
          <a:off x="304800" y="1624965"/>
          <a:ext cx="4876800" cy="6350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square" rtlCol="0" anchor="ctr">
          <a:noAutofit/>
        </a:bodyPr>
        <a:lstStyle xmlns:a="http://schemas.openxmlformats.org/drawingml/2006/main"/>
        <a:p xmlns:a="http://schemas.openxmlformats.org/drawingml/2006/main">
          <a:pPr algn="ctr"/>
          <a:r>
            <a:rPr lang="en-US" sz="1400" b="0" i="0">
              <a:solidFill>
                <a:srgbClr val="C0C0C0"/>
              </a:solidFill>
              <a:latin typeface="Arial"/>
            </a:rPr>
            <a:t>PrecisionTree Course Version
</a:t>
          </a:r>
          <a:r>
            <a:rPr lang="en-US" sz="1000" b="0" i="0">
              <a:solidFill>
                <a:srgbClr val="C0C0C0"/>
              </a:solidFill>
              <a:latin typeface="Arial"/>
            </a:rPr>
            <a:t>Univ of Wisconsin, Madison</a:t>
          </a:r>
        </a:p>
      </cdr:txBody>
    </cdr:sp>
  </cdr:relSizeAnchor>
</c:userShapes>
</file>

<file path=xl/drawings/drawing6.xml><?xml version="1.0" encoding="utf-8"?>
<c:userShapes xmlns:c="http://schemas.openxmlformats.org/drawingml/2006/chart">
  <cdr:relSizeAnchor xmlns:cdr="http://schemas.openxmlformats.org/drawingml/2006/chartDrawing">
    <cdr:from>
      <cdr:x>0.05607</cdr:x>
      <cdr:y>0.42382</cdr:y>
    </cdr:from>
    <cdr:to>
      <cdr:x>0.95327</cdr:x>
      <cdr:y>0.58943</cdr:y>
    </cdr:to>
    <cdr:sp macro="[4]!PtreeEvent_WatermarkClick" textlink="">
      <cdr:nvSpPr>
        <cdr:cNvPr id="2" name="gwm_29102          "/>
        <cdr:cNvSpPr txBox="1"/>
      </cdr:nvSpPr>
      <cdr:spPr>
        <a:xfrm xmlns:a="http://schemas.openxmlformats.org/drawingml/2006/main">
          <a:off x="304800" y="1624965"/>
          <a:ext cx="4876800" cy="6350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square" rtlCol="0" anchor="ctr">
          <a:noAutofit/>
        </a:bodyPr>
        <a:lstStyle xmlns:a="http://schemas.openxmlformats.org/drawingml/2006/main"/>
        <a:p xmlns:a="http://schemas.openxmlformats.org/drawingml/2006/main">
          <a:pPr algn="ctr"/>
          <a:r>
            <a:rPr lang="en-US" sz="1400" b="0" i="0">
              <a:solidFill>
                <a:srgbClr val="C0C0C0"/>
              </a:solidFill>
              <a:latin typeface="Arial"/>
            </a:rPr>
            <a:t>PrecisionTree Course Version
</a:t>
          </a:r>
          <a:r>
            <a:rPr lang="en-US" sz="1000" b="0" i="0">
              <a:solidFill>
                <a:srgbClr val="C0C0C0"/>
              </a:solidFill>
              <a:latin typeface="Arial"/>
            </a:rPr>
            <a:t>Univ of Wisconsin, Madison</a:t>
          </a:r>
        </a:p>
      </cdr:txBody>
    </cdr:sp>
  </cdr:relSizeAnchor>
  <cdr:relSizeAnchor xmlns:cdr="http://schemas.openxmlformats.org/drawingml/2006/chartDrawing">
    <cdr:from>
      <cdr:x>0.05607</cdr:x>
      <cdr:y>0.42382</cdr:y>
    </cdr:from>
    <cdr:to>
      <cdr:x>0.95327</cdr:x>
      <cdr:y>0.58943</cdr:y>
    </cdr:to>
    <cdr:sp macro="[4]!PtreeEvent_WatermarkClick" textlink="">
      <cdr:nvSpPr>
        <cdr:cNvPr id="3" name="gwm_29102         "/>
        <cdr:cNvSpPr txBox="1"/>
      </cdr:nvSpPr>
      <cdr:spPr>
        <a:xfrm xmlns:a="http://schemas.openxmlformats.org/drawingml/2006/main">
          <a:off x="304800" y="1624965"/>
          <a:ext cx="4876800" cy="6350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square" rtlCol="0" anchor="ctr">
          <a:noAutofit/>
        </a:bodyPr>
        <a:lstStyle xmlns:a="http://schemas.openxmlformats.org/drawingml/2006/main"/>
        <a:p xmlns:a="http://schemas.openxmlformats.org/drawingml/2006/main">
          <a:pPr algn="ctr"/>
          <a:r>
            <a:rPr lang="en-US" sz="1400" b="0" i="0">
              <a:solidFill>
                <a:srgbClr val="C0C0C0"/>
              </a:solidFill>
              <a:latin typeface="Arial"/>
            </a:rPr>
            <a:t>PrecisionTree Course Version
</a:t>
          </a:r>
          <a:r>
            <a:rPr lang="en-US" sz="1000" b="0" i="0">
              <a:solidFill>
                <a:srgbClr val="C0C0C0"/>
              </a:solidFill>
              <a:latin typeface="Arial"/>
            </a:rPr>
            <a:t>Univ of Wisconsin, Madison</a:t>
          </a:r>
        </a:p>
      </cdr:txBody>
    </cdr:sp>
  </cdr:relSizeAnchor>
  <cdr:relSizeAnchor xmlns:cdr="http://schemas.openxmlformats.org/drawingml/2006/chartDrawing">
    <cdr:from>
      <cdr:x>0.05607</cdr:x>
      <cdr:y>0.42382</cdr:y>
    </cdr:from>
    <cdr:to>
      <cdr:x>0.95327</cdr:x>
      <cdr:y>0.58943</cdr:y>
    </cdr:to>
    <cdr:sp macro="[4]!PtreeEvent_WatermarkClick" textlink="">
      <cdr:nvSpPr>
        <cdr:cNvPr id="4" name="gwm_29102        "/>
        <cdr:cNvSpPr txBox="1"/>
      </cdr:nvSpPr>
      <cdr:spPr>
        <a:xfrm xmlns:a="http://schemas.openxmlformats.org/drawingml/2006/main">
          <a:off x="304800" y="1624965"/>
          <a:ext cx="4876800" cy="6350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square" rtlCol="0" anchor="ctr">
          <a:noAutofit/>
        </a:bodyPr>
        <a:lstStyle xmlns:a="http://schemas.openxmlformats.org/drawingml/2006/main"/>
        <a:p xmlns:a="http://schemas.openxmlformats.org/drawingml/2006/main">
          <a:pPr algn="ctr"/>
          <a:r>
            <a:rPr lang="en-US" sz="1400" b="0" i="0">
              <a:solidFill>
                <a:srgbClr val="C0C0C0"/>
              </a:solidFill>
              <a:latin typeface="Arial"/>
            </a:rPr>
            <a:t>PrecisionTree Course Version
</a:t>
          </a:r>
          <a:r>
            <a:rPr lang="en-US" sz="1000" b="0" i="0">
              <a:solidFill>
                <a:srgbClr val="C0C0C0"/>
              </a:solidFill>
              <a:latin typeface="Arial"/>
            </a:rPr>
            <a:t>Univ of Wisconsin, Madison</a:t>
          </a:r>
        </a:p>
      </cdr:txBody>
    </cdr:sp>
  </cdr:relSizeAnchor>
  <cdr:relSizeAnchor xmlns:cdr="http://schemas.openxmlformats.org/drawingml/2006/chartDrawing">
    <cdr:from>
      <cdr:x>0.05607</cdr:x>
      <cdr:y>0.42382</cdr:y>
    </cdr:from>
    <cdr:to>
      <cdr:x>0.95327</cdr:x>
      <cdr:y>0.58943</cdr:y>
    </cdr:to>
    <cdr:sp macro="[4]!PtreeEvent_WatermarkClick" textlink="">
      <cdr:nvSpPr>
        <cdr:cNvPr id="5" name="gwm_29102       "/>
        <cdr:cNvSpPr txBox="1"/>
      </cdr:nvSpPr>
      <cdr:spPr>
        <a:xfrm xmlns:a="http://schemas.openxmlformats.org/drawingml/2006/main">
          <a:off x="304800" y="1624965"/>
          <a:ext cx="4876800" cy="6350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square" rtlCol="0" anchor="ctr">
          <a:noAutofit/>
        </a:bodyPr>
        <a:lstStyle xmlns:a="http://schemas.openxmlformats.org/drawingml/2006/main"/>
        <a:p xmlns:a="http://schemas.openxmlformats.org/drawingml/2006/main">
          <a:pPr algn="ctr"/>
          <a:r>
            <a:rPr lang="en-US" sz="1400" b="0" i="0">
              <a:solidFill>
                <a:srgbClr val="C0C0C0"/>
              </a:solidFill>
              <a:latin typeface="Arial"/>
            </a:rPr>
            <a:t>PrecisionTree Course Version
</a:t>
          </a:r>
          <a:r>
            <a:rPr lang="en-US" sz="1000" b="0" i="0">
              <a:solidFill>
                <a:srgbClr val="C0C0C0"/>
              </a:solidFill>
              <a:latin typeface="Arial"/>
            </a:rPr>
            <a:t>Univ of Wisconsin, Madison</a:t>
          </a:r>
        </a:p>
      </cdr:txBody>
    </cdr:sp>
  </cdr:relSizeAnchor>
  <cdr:relSizeAnchor xmlns:cdr="http://schemas.openxmlformats.org/drawingml/2006/chartDrawing">
    <cdr:from>
      <cdr:x>0.05607</cdr:x>
      <cdr:y>0.42382</cdr:y>
    </cdr:from>
    <cdr:to>
      <cdr:x>0.95327</cdr:x>
      <cdr:y>0.58943</cdr:y>
    </cdr:to>
    <cdr:sp macro="[4]!PtreeEvent_WatermarkClick" textlink="">
      <cdr:nvSpPr>
        <cdr:cNvPr id="6" name="gwm_29102      "/>
        <cdr:cNvSpPr txBox="1"/>
      </cdr:nvSpPr>
      <cdr:spPr>
        <a:xfrm xmlns:a="http://schemas.openxmlformats.org/drawingml/2006/main">
          <a:off x="304800" y="1624965"/>
          <a:ext cx="4876800" cy="6350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square" rtlCol="0" anchor="ctr">
          <a:noAutofit/>
        </a:bodyPr>
        <a:lstStyle xmlns:a="http://schemas.openxmlformats.org/drawingml/2006/main"/>
        <a:p xmlns:a="http://schemas.openxmlformats.org/drawingml/2006/main">
          <a:pPr algn="ctr"/>
          <a:r>
            <a:rPr lang="en-US" sz="1400" b="0" i="0">
              <a:solidFill>
                <a:srgbClr val="C0C0C0"/>
              </a:solidFill>
              <a:latin typeface="Arial"/>
            </a:rPr>
            <a:t>PrecisionTree Course Version
</a:t>
          </a:r>
          <a:r>
            <a:rPr lang="en-US" sz="1000" b="0" i="0">
              <a:solidFill>
                <a:srgbClr val="C0C0C0"/>
              </a:solidFill>
              <a:latin typeface="Arial"/>
            </a:rPr>
            <a:t>Univ of Wisconsin, Madison</a:t>
          </a:r>
        </a:p>
      </cdr:txBody>
    </cdr:sp>
  </cdr:relSizeAnchor>
</c:userShapes>
</file>

<file path=xl/drawings/drawing7.xml><?xml version="1.0" encoding="utf-8"?>
<c:userShapes xmlns:c="http://schemas.openxmlformats.org/drawingml/2006/chart">
  <cdr:relSizeAnchor xmlns:cdr="http://schemas.openxmlformats.org/drawingml/2006/chartDrawing">
    <cdr:from>
      <cdr:x>0.05607</cdr:x>
      <cdr:y>0.42382</cdr:y>
    </cdr:from>
    <cdr:to>
      <cdr:x>0.95327</cdr:x>
      <cdr:y>0.58943</cdr:y>
    </cdr:to>
    <cdr:sp macro="[4]!PtreeEvent_WatermarkClick" textlink="">
      <cdr:nvSpPr>
        <cdr:cNvPr id="2" name="gwm_25607          "/>
        <cdr:cNvSpPr txBox="1"/>
      </cdr:nvSpPr>
      <cdr:spPr>
        <a:xfrm xmlns:a="http://schemas.openxmlformats.org/drawingml/2006/main">
          <a:off x="304800" y="1624965"/>
          <a:ext cx="4876800" cy="6350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square" rtlCol="0" anchor="ctr">
          <a:noAutofit/>
        </a:bodyPr>
        <a:lstStyle xmlns:a="http://schemas.openxmlformats.org/drawingml/2006/main"/>
        <a:p xmlns:a="http://schemas.openxmlformats.org/drawingml/2006/main">
          <a:pPr algn="ctr"/>
          <a:r>
            <a:rPr lang="en-US" sz="1400" b="0" i="0">
              <a:solidFill>
                <a:srgbClr val="C0C0C0"/>
              </a:solidFill>
              <a:latin typeface="Arial"/>
            </a:rPr>
            <a:t>PrecisionTree Course Version
</a:t>
          </a:r>
          <a:r>
            <a:rPr lang="en-US" sz="1000" b="0" i="0">
              <a:solidFill>
                <a:srgbClr val="C0C0C0"/>
              </a:solidFill>
              <a:latin typeface="Arial"/>
            </a:rPr>
            <a:t>Univ of Wisconsin, Madison</a:t>
          </a:r>
        </a:p>
      </cdr:txBody>
    </cdr:sp>
  </cdr:relSizeAnchor>
  <cdr:relSizeAnchor xmlns:cdr="http://schemas.openxmlformats.org/drawingml/2006/chartDrawing">
    <cdr:from>
      <cdr:x>0.05607</cdr:x>
      <cdr:y>0.42382</cdr:y>
    </cdr:from>
    <cdr:to>
      <cdr:x>0.95327</cdr:x>
      <cdr:y>0.58943</cdr:y>
    </cdr:to>
    <cdr:sp macro="[4]!PtreeEvent_WatermarkClick" textlink="">
      <cdr:nvSpPr>
        <cdr:cNvPr id="3" name="gwm_25607         "/>
        <cdr:cNvSpPr txBox="1"/>
      </cdr:nvSpPr>
      <cdr:spPr>
        <a:xfrm xmlns:a="http://schemas.openxmlformats.org/drawingml/2006/main">
          <a:off x="304800" y="1624965"/>
          <a:ext cx="4876800" cy="6350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square" rtlCol="0" anchor="ctr">
          <a:noAutofit/>
        </a:bodyPr>
        <a:lstStyle xmlns:a="http://schemas.openxmlformats.org/drawingml/2006/main"/>
        <a:p xmlns:a="http://schemas.openxmlformats.org/drawingml/2006/main">
          <a:pPr algn="ctr"/>
          <a:r>
            <a:rPr lang="en-US" sz="1400" b="0" i="0">
              <a:solidFill>
                <a:srgbClr val="C0C0C0"/>
              </a:solidFill>
              <a:latin typeface="Arial"/>
            </a:rPr>
            <a:t>PrecisionTree Course Version
</a:t>
          </a:r>
          <a:r>
            <a:rPr lang="en-US" sz="1000" b="0" i="0">
              <a:solidFill>
                <a:srgbClr val="C0C0C0"/>
              </a:solidFill>
              <a:latin typeface="Arial"/>
            </a:rPr>
            <a:t>Univ of Wisconsin, Madison</a:t>
          </a:r>
        </a:p>
      </cdr:txBody>
    </cdr:sp>
  </cdr:relSizeAnchor>
  <cdr:relSizeAnchor xmlns:cdr="http://schemas.openxmlformats.org/drawingml/2006/chartDrawing">
    <cdr:from>
      <cdr:x>0.05607</cdr:x>
      <cdr:y>0.42382</cdr:y>
    </cdr:from>
    <cdr:to>
      <cdr:x>0.95327</cdr:x>
      <cdr:y>0.58943</cdr:y>
    </cdr:to>
    <cdr:sp macro="[4]!PtreeEvent_WatermarkClick" textlink="">
      <cdr:nvSpPr>
        <cdr:cNvPr id="4" name="gwm_25607        "/>
        <cdr:cNvSpPr txBox="1"/>
      </cdr:nvSpPr>
      <cdr:spPr>
        <a:xfrm xmlns:a="http://schemas.openxmlformats.org/drawingml/2006/main">
          <a:off x="304800" y="1624965"/>
          <a:ext cx="4876800" cy="6350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square" rtlCol="0" anchor="ctr">
          <a:noAutofit/>
        </a:bodyPr>
        <a:lstStyle xmlns:a="http://schemas.openxmlformats.org/drawingml/2006/main"/>
        <a:p xmlns:a="http://schemas.openxmlformats.org/drawingml/2006/main">
          <a:pPr algn="ctr"/>
          <a:r>
            <a:rPr lang="en-US" sz="1400" b="0" i="0">
              <a:solidFill>
                <a:srgbClr val="C0C0C0"/>
              </a:solidFill>
              <a:latin typeface="Arial"/>
            </a:rPr>
            <a:t>PrecisionTree Course Version
</a:t>
          </a:r>
          <a:r>
            <a:rPr lang="en-US" sz="1000" b="0" i="0">
              <a:solidFill>
                <a:srgbClr val="C0C0C0"/>
              </a:solidFill>
              <a:latin typeface="Arial"/>
            </a:rPr>
            <a:t>Univ of Wisconsin, Madison</a:t>
          </a:r>
        </a:p>
      </cdr:txBody>
    </cdr:sp>
  </cdr:relSizeAnchor>
  <cdr:relSizeAnchor xmlns:cdr="http://schemas.openxmlformats.org/drawingml/2006/chartDrawing">
    <cdr:from>
      <cdr:x>0.05607</cdr:x>
      <cdr:y>0.42382</cdr:y>
    </cdr:from>
    <cdr:to>
      <cdr:x>0.95327</cdr:x>
      <cdr:y>0.58943</cdr:y>
    </cdr:to>
    <cdr:sp macro="[4]!PtreeEvent_WatermarkClick" textlink="">
      <cdr:nvSpPr>
        <cdr:cNvPr id="5" name="gwm_25607       "/>
        <cdr:cNvSpPr txBox="1"/>
      </cdr:nvSpPr>
      <cdr:spPr>
        <a:xfrm xmlns:a="http://schemas.openxmlformats.org/drawingml/2006/main">
          <a:off x="304800" y="1624965"/>
          <a:ext cx="4876800" cy="6350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square" rtlCol="0" anchor="ctr">
          <a:noAutofit/>
        </a:bodyPr>
        <a:lstStyle xmlns:a="http://schemas.openxmlformats.org/drawingml/2006/main"/>
        <a:p xmlns:a="http://schemas.openxmlformats.org/drawingml/2006/main">
          <a:pPr algn="ctr"/>
          <a:r>
            <a:rPr lang="en-US" sz="1400" b="0" i="0">
              <a:solidFill>
                <a:srgbClr val="C0C0C0"/>
              </a:solidFill>
              <a:latin typeface="Arial"/>
            </a:rPr>
            <a:t>PrecisionTree Course Version
</a:t>
          </a:r>
          <a:r>
            <a:rPr lang="en-US" sz="1000" b="0" i="0">
              <a:solidFill>
                <a:srgbClr val="C0C0C0"/>
              </a:solidFill>
              <a:latin typeface="Arial"/>
            </a:rPr>
            <a:t>Univ of Wisconsin, Madison</a:t>
          </a:r>
        </a:p>
      </cdr:txBody>
    </cdr:sp>
  </cdr:relSizeAnchor>
  <cdr:relSizeAnchor xmlns:cdr="http://schemas.openxmlformats.org/drawingml/2006/chartDrawing">
    <cdr:from>
      <cdr:x>0.05607</cdr:x>
      <cdr:y>0.42382</cdr:y>
    </cdr:from>
    <cdr:to>
      <cdr:x>0.95327</cdr:x>
      <cdr:y>0.58943</cdr:y>
    </cdr:to>
    <cdr:sp macro="[4]!PtreeEvent_WatermarkClick" textlink="">
      <cdr:nvSpPr>
        <cdr:cNvPr id="6" name="gwm_25607      "/>
        <cdr:cNvSpPr txBox="1"/>
      </cdr:nvSpPr>
      <cdr:spPr>
        <a:xfrm xmlns:a="http://schemas.openxmlformats.org/drawingml/2006/main">
          <a:off x="304800" y="1624965"/>
          <a:ext cx="4876800" cy="6350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square" rtlCol="0" anchor="ctr">
          <a:noAutofit/>
        </a:bodyPr>
        <a:lstStyle xmlns:a="http://schemas.openxmlformats.org/drawingml/2006/main"/>
        <a:p xmlns:a="http://schemas.openxmlformats.org/drawingml/2006/main">
          <a:pPr algn="ctr"/>
          <a:r>
            <a:rPr lang="en-US" sz="1400" b="0" i="0">
              <a:solidFill>
                <a:srgbClr val="C0C0C0"/>
              </a:solidFill>
              <a:latin typeface="Arial"/>
            </a:rPr>
            <a:t>PrecisionTree Course Version
</a:t>
          </a:r>
          <a:r>
            <a:rPr lang="en-US" sz="1000" b="0" i="0">
              <a:solidFill>
                <a:srgbClr val="C0C0C0"/>
              </a:solidFill>
              <a:latin typeface="Arial"/>
            </a:rPr>
            <a:t>Univ of Wisconsin, Madison</a:t>
          </a:r>
        </a:p>
      </cdr:txBody>
    </cdr:sp>
  </cdr:relSizeAnchor>
</c:userShapes>
</file>

<file path=xl/drawings/drawing8.xml><?xml version="1.0" encoding="utf-8"?>
<c:userShapes xmlns:c="http://schemas.openxmlformats.org/drawingml/2006/chart">
  <cdr:relSizeAnchor xmlns:cdr="http://schemas.openxmlformats.org/drawingml/2006/chartDrawing">
    <cdr:from>
      <cdr:x>0.05607</cdr:x>
      <cdr:y>0.42382</cdr:y>
    </cdr:from>
    <cdr:to>
      <cdr:x>0.95327</cdr:x>
      <cdr:y>0.58943</cdr:y>
    </cdr:to>
    <cdr:sp macro="[4]!PtreeEvent_WatermarkClick" textlink="">
      <cdr:nvSpPr>
        <cdr:cNvPr id="2" name="gwm_582          "/>
        <cdr:cNvSpPr txBox="1"/>
      </cdr:nvSpPr>
      <cdr:spPr>
        <a:xfrm xmlns:a="http://schemas.openxmlformats.org/drawingml/2006/main">
          <a:off x="304800" y="1624965"/>
          <a:ext cx="4876800" cy="6350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square" rtlCol="0" anchor="ctr">
          <a:noAutofit/>
        </a:bodyPr>
        <a:lstStyle xmlns:a="http://schemas.openxmlformats.org/drawingml/2006/main"/>
        <a:p xmlns:a="http://schemas.openxmlformats.org/drawingml/2006/main">
          <a:pPr algn="ctr"/>
          <a:r>
            <a:rPr lang="en-US" sz="1400" b="0" i="0">
              <a:solidFill>
                <a:srgbClr val="C0C0C0"/>
              </a:solidFill>
              <a:latin typeface="Arial"/>
            </a:rPr>
            <a:t>PrecisionTree Course Version
</a:t>
          </a:r>
          <a:r>
            <a:rPr lang="en-US" sz="1000" b="0" i="0">
              <a:solidFill>
                <a:srgbClr val="C0C0C0"/>
              </a:solidFill>
              <a:latin typeface="Arial"/>
            </a:rPr>
            <a:t>Univ of Wisconsin, Madison</a:t>
          </a:r>
        </a:p>
      </cdr:txBody>
    </cdr:sp>
  </cdr:relSizeAnchor>
  <cdr:relSizeAnchor xmlns:cdr="http://schemas.openxmlformats.org/drawingml/2006/chartDrawing">
    <cdr:from>
      <cdr:x>0.05607</cdr:x>
      <cdr:y>0.42382</cdr:y>
    </cdr:from>
    <cdr:to>
      <cdr:x>0.95327</cdr:x>
      <cdr:y>0.58943</cdr:y>
    </cdr:to>
    <cdr:sp macro="[4]!PtreeEvent_WatermarkClick" textlink="">
      <cdr:nvSpPr>
        <cdr:cNvPr id="3" name="gwm_582         "/>
        <cdr:cNvSpPr txBox="1"/>
      </cdr:nvSpPr>
      <cdr:spPr>
        <a:xfrm xmlns:a="http://schemas.openxmlformats.org/drawingml/2006/main">
          <a:off x="304800" y="1624965"/>
          <a:ext cx="4876800" cy="6350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square" rtlCol="0" anchor="ctr">
          <a:noAutofit/>
        </a:bodyPr>
        <a:lstStyle xmlns:a="http://schemas.openxmlformats.org/drawingml/2006/main"/>
        <a:p xmlns:a="http://schemas.openxmlformats.org/drawingml/2006/main">
          <a:pPr algn="ctr"/>
          <a:r>
            <a:rPr lang="en-US" sz="1400" b="0" i="0">
              <a:solidFill>
                <a:srgbClr val="C0C0C0"/>
              </a:solidFill>
              <a:latin typeface="Arial"/>
            </a:rPr>
            <a:t>PrecisionTree Course Version
</a:t>
          </a:r>
          <a:r>
            <a:rPr lang="en-US" sz="1000" b="0" i="0">
              <a:solidFill>
                <a:srgbClr val="C0C0C0"/>
              </a:solidFill>
              <a:latin typeface="Arial"/>
            </a:rPr>
            <a:t>Univ of Wisconsin, Madison</a:t>
          </a:r>
        </a:p>
      </cdr:txBody>
    </cdr:sp>
  </cdr:relSizeAnchor>
  <cdr:relSizeAnchor xmlns:cdr="http://schemas.openxmlformats.org/drawingml/2006/chartDrawing">
    <cdr:from>
      <cdr:x>0.05607</cdr:x>
      <cdr:y>0.42382</cdr:y>
    </cdr:from>
    <cdr:to>
      <cdr:x>0.95327</cdr:x>
      <cdr:y>0.58943</cdr:y>
    </cdr:to>
    <cdr:sp macro="[4]!PtreeEvent_WatermarkClick" textlink="">
      <cdr:nvSpPr>
        <cdr:cNvPr id="4" name="gwm_582        "/>
        <cdr:cNvSpPr txBox="1"/>
      </cdr:nvSpPr>
      <cdr:spPr>
        <a:xfrm xmlns:a="http://schemas.openxmlformats.org/drawingml/2006/main">
          <a:off x="304800" y="1624965"/>
          <a:ext cx="4876800" cy="6350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square" rtlCol="0" anchor="ctr">
          <a:noAutofit/>
        </a:bodyPr>
        <a:lstStyle xmlns:a="http://schemas.openxmlformats.org/drawingml/2006/main"/>
        <a:p xmlns:a="http://schemas.openxmlformats.org/drawingml/2006/main">
          <a:pPr algn="ctr"/>
          <a:r>
            <a:rPr lang="en-US" sz="1400" b="0" i="0">
              <a:solidFill>
                <a:srgbClr val="C0C0C0"/>
              </a:solidFill>
              <a:latin typeface="Arial"/>
            </a:rPr>
            <a:t>PrecisionTree Course Version
</a:t>
          </a:r>
          <a:r>
            <a:rPr lang="en-US" sz="1000" b="0" i="0">
              <a:solidFill>
                <a:srgbClr val="C0C0C0"/>
              </a:solidFill>
              <a:latin typeface="Arial"/>
            </a:rPr>
            <a:t>Univ of Wisconsin, Madison</a:t>
          </a:r>
        </a:p>
      </cdr:txBody>
    </cdr:sp>
  </cdr:relSizeAnchor>
  <cdr:relSizeAnchor xmlns:cdr="http://schemas.openxmlformats.org/drawingml/2006/chartDrawing">
    <cdr:from>
      <cdr:x>0.05607</cdr:x>
      <cdr:y>0.42382</cdr:y>
    </cdr:from>
    <cdr:to>
      <cdr:x>0.95327</cdr:x>
      <cdr:y>0.58943</cdr:y>
    </cdr:to>
    <cdr:sp macro="[4]!PtreeEvent_WatermarkClick" textlink="">
      <cdr:nvSpPr>
        <cdr:cNvPr id="5" name="gwm_582       "/>
        <cdr:cNvSpPr txBox="1"/>
      </cdr:nvSpPr>
      <cdr:spPr>
        <a:xfrm xmlns:a="http://schemas.openxmlformats.org/drawingml/2006/main">
          <a:off x="304800" y="1624965"/>
          <a:ext cx="4876800" cy="6350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square" rtlCol="0" anchor="ctr">
          <a:noAutofit/>
        </a:bodyPr>
        <a:lstStyle xmlns:a="http://schemas.openxmlformats.org/drawingml/2006/main"/>
        <a:p xmlns:a="http://schemas.openxmlformats.org/drawingml/2006/main">
          <a:pPr algn="ctr"/>
          <a:r>
            <a:rPr lang="en-US" sz="1400" b="0" i="0">
              <a:solidFill>
                <a:srgbClr val="C0C0C0"/>
              </a:solidFill>
              <a:latin typeface="Arial"/>
            </a:rPr>
            <a:t>PrecisionTree Course Version
</a:t>
          </a:r>
          <a:r>
            <a:rPr lang="en-US" sz="1000" b="0" i="0">
              <a:solidFill>
                <a:srgbClr val="C0C0C0"/>
              </a:solidFill>
              <a:latin typeface="Arial"/>
            </a:rPr>
            <a:t>Univ of Wisconsin, Madison</a:t>
          </a:r>
        </a:p>
      </cdr:txBody>
    </cdr:sp>
  </cdr:relSizeAnchor>
  <cdr:relSizeAnchor xmlns:cdr="http://schemas.openxmlformats.org/drawingml/2006/chartDrawing">
    <cdr:from>
      <cdr:x>0.05607</cdr:x>
      <cdr:y>0.42382</cdr:y>
    </cdr:from>
    <cdr:to>
      <cdr:x>0.95327</cdr:x>
      <cdr:y>0.58943</cdr:y>
    </cdr:to>
    <cdr:sp macro="[4]!PtreeEvent_WatermarkClick" textlink="">
      <cdr:nvSpPr>
        <cdr:cNvPr id="6" name="gwm_582      "/>
        <cdr:cNvSpPr txBox="1"/>
      </cdr:nvSpPr>
      <cdr:spPr>
        <a:xfrm xmlns:a="http://schemas.openxmlformats.org/drawingml/2006/main">
          <a:off x="304800" y="1624965"/>
          <a:ext cx="4876800" cy="6350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square" rtlCol="0" anchor="ctr">
          <a:noAutofit/>
        </a:bodyPr>
        <a:lstStyle xmlns:a="http://schemas.openxmlformats.org/drawingml/2006/main"/>
        <a:p xmlns:a="http://schemas.openxmlformats.org/drawingml/2006/main">
          <a:pPr algn="ctr"/>
          <a:r>
            <a:rPr lang="en-US" sz="1400" b="0" i="0">
              <a:solidFill>
                <a:srgbClr val="C0C0C0"/>
              </a:solidFill>
              <a:latin typeface="Arial"/>
            </a:rPr>
            <a:t>PrecisionTree Course Version
</a:t>
          </a:r>
          <a:r>
            <a:rPr lang="en-US" sz="1000" b="0" i="0">
              <a:solidFill>
                <a:srgbClr val="C0C0C0"/>
              </a:solidFill>
              <a:latin typeface="Arial"/>
            </a:rPr>
            <a:t>Univ of Wisconsin, Madison</a:t>
          </a:r>
        </a:p>
      </cdr:txBody>
    </cdr:sp>
  </cdr:relSizeAnchor>
</c:userShapes>
</file>

<file path=xl/drawings/drawing9.xml><?xml version="1.0" encoding="utf-8"?>
<c:userShapes xmlns:c="http://schemas.openxmlformats.org/drawingml/2006/chart">
  <cdr:relSizeAnchor xmlns:cdr="http://schemas.openxmlformats.org/drawingml/2006/chartDrawing">
    <cdr:from>
      <cdr:x>0.05607</cdr:x>
      <cdr:y>0.42382</cdr:y>
    </cdr:from>
    <cdr:to>
      <cdr:x>0.95327</cdr:x>
      <cdr:y>0.58943</cdr:y>
    </cdr:to>
    <cdr:sp macro="[4]!PtreeEvent_WatermarkClick" textlink="">
      <cdr:nvSpPr>
        <cdr:cNvPr id="2" name="gwm_7971          "/>
        <cdr:cNvSpPr txBox="1"/>
      </cdr:nvSpPr>
      <cdr:spPr>
        <a:xfrm xmlns:a="http://schemas.openxmlformats.org/drawingml/2006/main">
          <a:off x="304800" y="1624965"/>
          <a:ext cx="4876800" cy="6350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square" rtlCol="0" anchor="ctr">
          <a:noAutofit/>
        </a:bodyPr>
        <a:lstStyle xmlns:a="http://schemas.openxmlformats.org/drawingml/2006/main"/>
        <a:p xmlns:a="http://schemas.openxmlformats.org/drawingml/2006/main">
          <a:pPr algn="ctr"/>
          <a:r>
            <a:rPr lang="en-US" sz="1400" b="0" i="0">
              <a:solidFill>
                <a:srgbClr val="C0C0C0"/>
              </a:solidFill>
              <a:latin typeface="Arial"/>
            </a:rPr>
            <a:t>PrecisionTree Course Version
</a:t>
          </a:r>
          <a:r>
            <a:rPr lang="en-US" sz="1000" b="0" i="0">
              <a:solidFill>
                <a:srgbClr val="C0C0C0"/>
              </a:solidFill>
              <a:latin typeface="Arial"/>
            </a:rPr>
            <a:t>Univ of Wisconsin, Madison</a:t>
          </a:r>
        </a:p>
      </cdr:txBody>
    </cdr:sp>
  </cdr:relSizeAnchor>
  <cdr:relSizeAnchor xmlns:cdr="http://schemas.openxmlformats.org/drawingml/2006/chartDrawing">
    <cdr:from>
      <cdr:x>0.05607</cdr:x>
      <cdr:y>0.42382</cdr:y>
    </cdr:from>
    <cdr:to>
      <cdr:x>0.95327</cdr:x>
      <cdr:y>0.58943</cdr:y>
    </cdr:to>
    <cdr:sp macro="[4]!PtreeEvent_WatermarkClick" textlink="">
      <cdr:nvSpPr>
        <cdr:cNvPr id="3" name="gwm_7971         "/>
        <cdr:cNvSpPr txBox="1"/>
      </cdr:nvSpPr>
      <cdr:spPr>
        <a:xfrm xmlns:a="http://schemas.openxmlformats.org/drawingml/2006/main">
          <a:off x="304800" y="1624965"/>
          <a:ext cx="4876800" cy="6350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square" rtlCol="0" anchor="ctr">
          <a:noAutofit/>
        </a:bodyPr>
        <a:lstStyle xmlns:a="http://schemas.openxmlformats.org/drawingml/2006/main"/>
        <a:p xmlns:a="http://schemas.openxmlformats.org/drawingml/2006/main">
          <a:pPr algn="ctr"/>
          <a:r>
            <a:rPr lang="en-US" sz="1400" b="0" i="0">
              <a:solidFill>
                <a:srgbClr val="C0C0C0"/>
              </a:solidFill>
              <a:latin typeface="Arial"/>
            </a:rPr>
            <a:t>PrecisionTree Course Version
</a:t>
          </a:r>
          <a:r>
            <a:rPr lang="en-US" sz="1000" b="0" i="0">
              <a:solidFill>
                <a:srgbClr val="C0C0C0"/>
              </a:solidFill>
              <a:latin typeface="Arial"/>
            </a:rPr>
            <a:t>Univ of Wisconsin, Madison</a:t>
          </a:r>
        </a:p>
      </cdr:txBody>
    </cdr:sp>
  </cdr:relSizeAnchor>
  <cdr:relSizeAnchor xmlns:cdr="http://schemas.openxmlformats.org/drawingml/2006/chartDrawing">
    <cdr:from>
      <cdr:x>0.05607</cdr:x>
      <cdr:y>0.42382</cdr:y>
    </cdr:from>
    <cdr:to>
      <cdr:x>0.95327</cdr:x>
      <cdr:y>0.58943</cdr:y>
    </cdr:to>
    <cdr:sp macro="[4]!PtreeEvent_WatermarkClick" textlink="">
      <cdr:nvSpPr>
        <cdr:cNvPr id="4" name="gwm_7971        "/>
        <cdr:cNvSpPr txBox="1"/>
      </cdr:nvSpPr>
      <cdr:spPr>
        <a:xfrm xmlns:a="http://schemas.openxmlformats.org/drawingml/2006/main">
          <a:off x="304800" y="1624965"/>
          <a:ext cx="4876800" cy="6350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square" rtlCol="0" anchor="ctr">
          <a:noAutofit/>
        </a:bodyPr>
        <a:lstStyle xmlns:a="http://schemas.openxmlformats.org/drawingml/2006/main"/>
        <a:p xmlns:a="http://schemas.openxmlformats.org/drawingml/2006/main">
          <a:pPr algn="ctr"/>
          <a:r>
            <a:rPr lang="en-US" sz="1400" b="0" i="0">
              <a:solidFill>
                <a:srgbClr val="C0C0C0"/>
              </a:solidFill>
              <a:latin typeface="Arial"/>
            </a:rPr>
            <a:t>PrecisionTree Course Version
</a:t>
          </a:r>
          <a:r>
            <a:rPr lang="en-US" sz="1000" b="0" i="0">
              <a:solidFill>
                <a:srgbClr val="C0C0C0"/>
              </a:solidFill>
              <a:latin typeface="Arial"/>
            </a:rPr>
            <a:t>Univ of Wisconsin, Madison</a:t>
          </a:r>
        </a:p>
      </cdr:txBody>
    </cdr:sp>
  </cdr:relSizeAnchor>
  <cdr:relSizeAnchor xmlns:cdr="http://schemas.openxmlformats.org/drawingml/2006/chartDrawing">
    <cdr:from>
      <cdr:x>0.05607</cdr:x>
      <cdr:y>0.42382</cdr:y>
    </cdr:from>
    <cdr:to>
      <cdr:x>0.95327</cdr:x>
      <cdr:y>0.58943</cdr:y>
    </cdr:to>
    <cdr:sp macro="[4]!PtreeEvent_WatermarkClick" textlink="">
      <cdr:nvSpPr>
        <cdr:cNvPr id="5" name="gwm_7971       "/>
        <cdr:cNvSpPr txBox="1"/>
      </cdr:nvSpPr>
      <cdr:spPr>
        <a:xfrm xmlns:a="http://schemas.openxmlformats.org/drawingml/2006/main">
          <a:off x="304800" y="1624965"/>
          <a:ext cx="4876800" cy="6350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square" rtlCol="0" anchor="ctr">
          <a:noAutofit/>
        </a:bodyPr>
        <a:lstStyle xmlns:a="http://schemas.openxmlformats.org/drawingml/2006/main"/>
        <a:p xmlns:a="http://schemas.openxmlformats.org/drawingml/2006/main">
          <a:pPr algn="ctr"/>
          <a:r>
            <a:rPr lang="en-US" sz="1400" b="0" i="0">
              <a:solidFill>
                <a:srgbClr val="C0C0C0"/>
              </a:solidFill>
              <a:latin typeface="Arial"/>
            </a:rPr>
            <a:t>PrecisionTree Course Version
</a:t>
          </a:r>
          <a:r>
            <a:rPr lang="en-US" sz="1000" b="0" i="0">
              <a:solidFill>
                <a:srgbClr val="C0C0C0"/>
              </a:solidFill>
              <a:latin typeface="Arial"/>
            </a:rPr>
            <a:t>Univ of Wisconsin, Madison</a:t>
          </a:r>
        </a:p>
      </cdr:txBody>
    </cdr:sp>
  </cdr:relSizeAnchor>
  <cdr:relSizeAnchor xmlns:cdr="http://schemas.openxmlformats.org/drawingml/2006/chartDrawing">
    <cdr:from>
      <cdr:x>0.05607</cdr:x>
      <cdr:y>0.42382</cdr:y>
    </cdr:from>
    <cdr:to>
      <cdr:x>0.95327</cdr:x>
      <cdr:y>0.58943</cdr:y>
    </cdr:to>
    <cdr:sp macro="[4]!PtreeEvent_WatermarkClick" textlink="">
      <cdr:nvSpPr>
        <cdr:cNvPr id="6" name="gwm_7971      "/>
        <cdr:cNvSpPr txBox="1"/>
      </cdr:nvSpPr>
      <cdr:spPr>
        <a:xfrm xmlns:a="http://schemas.openxmlformats.org/drawingml/2006/main">
          <a:off x="304800" y="1624965"/>
          <a:ext cx="4876800" cy="6350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square" rtlCol="0" anchor="ctr">
          <a:noAutofit/>
        </a:bodyPr>
        <a:lstStyle xmlns:a="http://schemas.openxmlformats.org/drawingml/2006/main"/>
        <a:p xmlns:a="http://schemas.openxmlformats.org/drawingml/2006/main">
          <a:pPr algn="ctr"/>
          <a:r>
            <a:rPr lang="en-US" sz="1400" b="0" i="0">
              <a:solidFill>
                <a:srgbClr val="C0C0C0"/>
              </a:solidFill>
              <a:latin typeface="Arial"/>
            </a:rPr>
            <a:t>PrecisionTree Course Version
</a:t>
          </a:r>
          <a:r>
            <a:rPr lang="en-US" sz="1000" b="0" i="0">
              <a:solidFill>
                <a:srgbClr val="C0C0C0"/>
              </a:solidFill>
              <a:latin typeface="Arial"/>
            </a:rPr>
            <a:t>Univ of Wisconsin, Madison</a:t>
          </a:r>
        </a:p>
      </cdr:txBody>
    </cdr:sp>
  </cdr:relSizeAnchor>
</c:userShapes>
</file>

<file path=xl/drawings/drawing10.xml><?xml version="1.0" encoding="utf-8"?>
<c:userShapes xmlns:c="http://schemas.openxmlformats.org/drawingml/2006/chart">
  <cdr:relSizeAnchor xmlns:cdr="http://schemas.openxmlformats.org/drawingml/2006/chartDrawing">
    <cdr:from>
      <cdr:x>0.05607</cdr:x>
      <cdr:y>0.42382</cdr:y>
    </cdr:from>
    <cdr:to>
      <cdr:x>0.95327</cdr:x>
      <cdr:y>0.58943</cdr:y>
    </cdr:to>
    <cdr:sp macro="[4]!PtreeEvent_WatermarkClick" textlink="">
      <cdr:nvSpPr>
        <cdr:cNvPr id="2" name="gwm_13255          "/>
        <cdr:cNvSpPr txBox="1"/>
      </cdr:nvSpPr>
      <cdr:spPr>
        <a:xfrm xmlns:a="http://schemas.openxmlformats.org/drawingml/2006/main">
          <a:off x="304800" y="1624965"/>
          <a:ext cx="4876800" cy="6350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square" rtlCol="0" anchor="ctr">
          <a:noAutofit/>
        </a:bodyPr>
        <a:lstStyle xmlns:a="http://schemas.openxmlformats.org/drawingml/2006/main"/>
        <a:p xmlns:a="http://schemas.openxmlformats.org/drawingml/2006/main">
          <a:pPr algn="ctr"/>
          <a:r>
            <a:rPr lang="en-US" sz="1400" b="0" i="0">
              <a:solidFill>
                <a:srgbClr val="C0C0C0"/>
              </a:solidFill>
              <a:latin typeface="Arial"/>
            </a:rPr>
            <a:t>PrecisionTree Course Version
</a:t>
          </a:r>
          <a:r>
            <a:rPr lang="en-US" sz="1000" b="0" i="0">
              <a:solidFill>
                <a:srgbClr val="C0C0C0"/>
              </a:solidFill>
              <a:latin typeface="Arial"/>
            </a:rPr>
            <a:t>Univ of Wisconsin, Madison</a:t>
          </a:r>
        </a:p>
      </cdr:txBody>
    </cdr:sp>
  </cdr:relSizeAnchor>
  <cdr:relSizeAnchor xmlns:cdr="http://schemas.openxmlformats.org/drawingml/2006/chartDrawing">
    <cdr:from>
      <cdr:x>0.05607</cdr:x>
      <cdr:y>0.42382</cdr:y>
    </cdr:from>
    <cdr:to>
      <cdr:x>0.95327</cdr:x>
      <cdr:y>0.58943</cdr:y>
    </cdr:to>
    <cdr:sp macro="[4]!PtreeEvent_WatermarkClick" textlink="">
      <cdr:nvSpPr>
        <cdr:cNvPr id="3" name="gwm_13255         "/>
        <cdr:cNvSpPr txBox="1"/>
      </cdr:nvSpPr>
      <cdr:spPr>
        <a:xfrm xmlns:a="http://schemas.openxmlformats.org/drawingml/2006/main">
          <a:off x="304800" y="1624965"/>
          <a:ext cx="4876800" cy="6350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square" rtlCol="0" anchor="ctr">
          <a:noAutofit/>
        </a:bodyPr>
        <a:lstStyle xmlns:a="http://schemas.openxmlformats.org/drawingml/2006/main"/>
        <a:p xmlns:a="http://schemas.openxmlformats.org/drawingml/2006/main">
          <a:pPr algn="ctr"/>
          <a:r>
            <a:rPr lang="en-US" sz="1400" b="0" i="0">
              <a:solidFill>
                <a:srgbClr val="C0C0C0"/>
              </a:solidFill>
              <a:latin typeface="Arial"/>
            </a:rPr>
            <a:t>PrecisionTree Course Version
</a:t>
          </a:r>
          <a:r>
            <a:rPr lang="en-US" sz="1000" b="0" i="0">
              <a:solidFill>
                <a:srgbClr val="C0C0C0"/>
              </a:solidFill>
              <a:latin typeface="Arial"/>
            </a:rPr>
            <a:t>Univ of Wisconsin, Madison</a:t>
          </a:r>
        </a:p>
      </cdr:txBody>
    </cdr:sp>
  </cdr:relSizeAnchor>
  <cdr:relSizeAnchor xmlns:cdr="http://schemas.openxmlformats.org/drawingml/2006/chartDrawing">
    <cdr:from>
      <cdr:x>0.05607</cdr:x>
      <cdr:y>0.42382</cdr:y>
    </cdr:from>
    <cdr:to>
      <cdr:x>0.95327</cdr:x>
      <cdr:y>0.58943</cdr:y>
    </cdr:to>
    <cdr:sp macro="[4]!PtreeEvent_WatermarkClick" textlink="">
      <cdr:nvSpPr>
        <cdr:cNvPr id="4" name="gwm_13255        "/>
        <cdr:cNvSpPr txBox="1"/>
      </cdr:nvSpPr>
      <cdr:spPr>
        <a:xfrm xmlns:a="http://schemas.openxmlformats.org/drawingml/2006/main">
          <a:off x="304800" y="1624965"/>
          <a:ext cx="4876800" cy="6350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square" rtlCol="0" anchor="ctr">
          <a:noAutofit/>
        </a:bodyPr>
        <a:lstStyle xmlns:a="http://schemas.openxmlformats.org/drawingml/2006/main"/>
        <a:p xmlns:a="http://schemas.openxmlformats.org/drawingml/2006/main">
          <a:pPr algn="ctr"/>
          <a:r>
            <a:rPr lang="en-US" sz="1400" b="0" i="0">
              <a:solidFill>
                <a:srgbClr val="C0C0C0"/>
              </a:solidFill>
              <a:latin typeface="Arial"/>
            </a:rPr>
            <a:t>PrecisionTree Course Version
</a:t>
          </a:r>
          <a:r>
            <a:rPr lang="en-US" sz="1000" b="0" i="0">
              <a:solidFill>
                <a:srgbClr val="C0C0C0"/>
              </a:solidFill>
              <a:latin typeface="Arial"/>
            </a:rPr>
            <a:t>Univ of Wisconsin, Madison</a:t>
          </a:r>
        </a:p>
      </cdr:txBody>
    </cdr:sp>
  </cdr:relSizeAnchor>
  <cdr:relSizeAnchor xmlns:cdr="http://schemas.openxmlformats.org/drawingml/2006/chartDrawing">
    <cdr:from>
      <cdr:x>0.05607</cdr:x>
      <cdr:y>0.42382</cdr:y>
    </cdr:from>
    <cdr:to>
      <cdr:x>0.95327</cdr:x>
      <cdr:y>0.58943</cdr:y>
    </cdr:to>
    <cdr:sp macro="[4]!PtreeEvent_WatermarkClick" textlink="">
      <cdr:nvSpPr>
        <cdr:cNvPr id="5" name="gwm_13255       "/>
        <cdr:cNvSpPr txBox="1"/>
      </cdr:nvSpPr>
      <cdr:spPr>
        <a:xfrm xmlns:a="http://schemas.openxmlformats.org/drawingml/2006/main">
          <a:off x="304800" y="1624965"/>
          <a:ext cx="4876800" cy="6350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square" rtlCol="0" anchor="ctr">
          <a:noAutofit/>
        </a:bodyPr>
        <a:lstStyle xmlns:a="http://schemas.openxmlformats.org/drawingml/2006/main"/>
        <a:p xmlns:a="http://schemas.openxmlformats.org/drawingml/2006/main">
          <a:pPr algn="ctr"/>
          <a:r>
            <a:rPr lang="en-US" sz="1400" b="0" i="0">
              <a:solidFill>
                <a:srgbClr val="C0C0C0"/>
              </a:solidFill>
              <a:latin typeface="Arial"/>
            </a:rPr>
            <a:t>PrecisionTree Course Version
</a:t>
          </a:r>
          <a:r>
            <a:rPr lang="en-US" sz="1000" b="0" i="0">
              <a:solidFill>
                <a:srgbClr val="C0C0C0"/>
              </a:solidFill>
              <a:latin typeface="Arial"/>
            </a:rPr>
            <a:t>Univ of Wisconsin, Madison</a:t>
          </a:r>
        </a:p>
      </cdr:txBody>
    </cdr:sp>
  </cdr:relSizeAnchor>
  <cdr:relSizeAnchor xmlns:cdr="http://schemas.openxmlformats.org/drawingml/2006/chartDrawing">
    <cdr:from>
      <cdr:x>0.05607</cdr:x>
      <cdr:y>0.42382</cdr:y>
    </cdr:from>
    <cdr:to>
      <cdr:x>0.95327</cdr:x>
      <cdr:y>0.58943</cdr:y>
    </cdr:to>
    <cdr:sp macro="[4]!PtreeEvent_WatermarkClick" textlink="">
      <cdr:nvSpPr>
        <cdr:cNvPr id="6" name="gwm_13255      "/>
        <cdr:cNvSpPr txBox="1"/>
      </cdr:nvSpPr>
      <cdr:spPr>
        <a:xfrm xmlns:a="http://schemas.openxmlformats.org/drawingml/2006/main">
          <a:off x="304800" y="1624965"/>
          <a:ext cx="4876800" cy="6350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square" rtlCol="0" anchor="ctr">
          <a:noAutofit/>
        </a:bodyPr>
        <a:lstStyle xmlns:a="http://schemas.openxmlformats.org/drawingml/2006/main"/>
        <a:p xmlns:a="http://schemas.openxmlformats.org/drawingml/2006/main">
          <a:pPr algn="ctr"/>
          <a:r>
            <a:rPr lang="en-US" sz="1400" b="0" i="0">
              <a:solidFill>
                <a:srgbClr val="C0C0C0"/>
              </a:solidFill>
              <a:latin typeface="Arial"/>
            </a:rPr>
            <a:t>PrecisionTree Course Version
</a:t>
          </a:r>
          <a:r>
            <a:rPr lang="en-US" sz="1000" b="0" i="0">
              <a:solidFill>
                <a:srgbClr val="C0C0C0"/>
              </a:solidFill>
              <a:latin typeface="Arial"/>
            </a:rPr>
            <a:t>Univ of Wisconsin, Madison</a:t>
          </a:r>
        </a:p>
      </cdr:txBody>
    </cdr:sp>
  </cdr:relSizeAnchor>
</c:userShapes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242697</xdr:colOff>
      <xdr:row>30</xdr:row>
      <xdr:rowOff>185420</xdr:rowOff>
    </xdr:from>
    <xdr:to>
      <xdr:col>5</xdr:col>
      <xdr:colOff>127</xdr:colOff>
      <xdr:row>30</xdr:row>
      <xdr:rowOff>185420</xdr:rowOff>
    </xdr:to>
    <xdr:cxnSp macro="_xll.PtreeEvent_ObjectClick">
      <xdr:nvCxnSpPr>
        <xdr:cNvPr id="421" name="PTObj_DBranchHLine_1_15"/>
        <xdr:cNvCxnSpPr/>
      </xdr:nvCxnSpPr>
      <xdr:spPr>
        <a:xfrm>
          <a:off x="4852797" y="6005195"/>
          <a:ext cx="1290955" cy="0"/>
        </a:xfrm>
        <a:prstGeom prst="line">
          <a:avLst/>
        </a:prstGeom>
        <a:ln>
          <a:solidFill>
            <a:srgbClr val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90297</xdr:colOff>
      <xdr:row>28</xdr:row>
      <xdr:rowOff>180340</xdr:rowOff>
    </xdr:from>
    <xdr:to>
      <xdr:col>4</xdr:col>
      <xdr:colOff>242697</xdr:colOff>
      <xdr:row>30</xdr:row>
      <xdr:rowOff>185420</xdr:rowOff>
    </xdr:to>
    <xdr:cxnSp macro="_xll.PtreeEvent_ObjectClick">
      <xdr:nvCxnSpPr>
        <xdr:cNvPr id="400" name="PTObj_DBranchDLine_1_15"/>
        <xdr:cNvCxnSpPr/>
      </xdr:nvCxnSpPr>
      <xdr:spPr>
        <a:xfrm>
          <a:off x="4700397" y="5619115"/>
          <a:ext cx="152400" cy="386080"/>
        </a:xfrm>
        <a:prstGeom prst="line">
          <a:avLst/>
        </a:prstGeom>
        <a:ln>
          <a:solidFill>
            <a:srgbClr val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242697</xdr:colOff>
      <xdr:row>26</xdr:row>
      <xdr:rowOff>185420</xdr:rowOff>
    </xdr:from>
    <xdr:to>
      <xdr:col>5</xdr:col>
      <xdr:colOff>127</xdr:colOff>
      <xdr:row>26</xdr:row>
      <xdr:rowOff>185420</xdr:rowOff>
    </xdr:to>
    <xdr:cxnSp macro="_xll.PtreeEvent_ObjectClick">
      <xdr:nvCxnSpPr>
        <xdr:cNvPr id="397" name="PTObj_DBranchHLine_1_14"/>
        <xdr:cNvCxnSpPr/>
      </xdr:nvCxnSpPr>
      <xdr:spPr>
        <a:xfrm>
          <a:off x="4852797" y="5243195"/>
          <a:ext cx="1290955" cy="0"/>
        </a:xfrm>
        <a:prstGeom prst="line">
          <a:avLst/>
        </a:prstGeom>
        <a:ln>
          <a:solidFill>
            <a:srgbClr val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90297</xdr:colOff>
      <xdr:row>26</xdr:row>
      <xdr:rowOff>185420</xdr:rowOff>
    </xdr:from>
    <xdr:to>
      <xdr:col>4</xdr:col>
      <xdr:colOff>242697</xdr:colOff>
      <xdr:row>28</xdr:row>
      <xdr:rowOff>180340</xdr:rowOff>
    </xdr:to>
    <xdr:cxnSp macro="_xll.PtreeEvent_ObjectClick">
      <xdr:nvCxnSpPr>
        <xdr:cNvPr id="376" name="PTObj_DBranchDLine_1_14"/>
        <xdr:cNvCxnSpPr/>
      </xdr:nvCxnSpPr>
      <xdr:spPr>
        <a:xfrm flipV="1">
          <a:off x="4700397" y="5243195"/>
          <a:ext cx="152400" cy="375920"/>
        </a:xfrm>
        <a:prstGeom prst="line">
          <a:avLst/>
        </a:prstGeom>
        <a:ln>
          <a:solidFill>
            <a:srgbClr val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242697</xdr:colOff>
      <xdr:row>28</xdr:row>
      <xdr:rowOff>185420</xdr:rowOff>
    </xdr:from>
    <xdr:to>
      <xdr:col>4</xdr:col>
      <xdr:colOff>127</xdr:colOff>
      <xdr:row>28</xdr:row>
      <xdr:rowOff>185420</xdr:rowOff>
    </xdr:to>
    <xdr:cxnSp macro="_xll.PtreeEvent_ObjectClick">
      <xdr:nvCxnSpPr>
        <xdr:cNvPr id="373" name="PTObj_DBranchHLine_1_13"/>
        <xdr:cNvCxnSpPr/>
      </xdr:nvCxnSpPr>
      <xdr:spPr>
        <a:xfrm>
          <a:off x="3300222" y="5624195"/>
          <a:ext cx="1310005" cy="0"/>
        </a:xfrm>
        <a:prstGeom prst="line">
          <a:avLst/>
        </a:prstGeom>
        <a:ln>
          <a:solidFill>
            <a:srgbClr val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90297</xdr:colOff>
      <xdr:row>24</xdr:row>
      <xdr:rowOff>180340</xdr:rowOff>
    </xdr:from>
    <xdr:to>
      <xdr:col>3</xdr:col>
      <xdr:colOff>242697</xdr:colOff>
      <xdr:row>28</xdr:row>
      <xdr:rowOff>185420</xdr:rowOff>
    </xdr:to>
    <xdr:cxnSp macro="_xll.PtreeEvent_ObjectClick">
      <xdr:nvCxnSpPr>
        <xdr:cNvPr id="352" name="PTObj_DBranchDLine_1_13"/>
        <xdr:cNvCxnSpPr/>
      </xdr:nvCxnSpPr>
      <xdr:spPr>
        <a:xfrm>
          <a:off x="3147822" y="4857115"/>
          <a:ext cx="152400" cy="767080"/>
        </a:xfrm>
        <a:prstGeom prst="line">
          <a:avLst/>
        </a:prstGeom>
        <a:ln>
          <a:solidFill>
            <a:srgbClr val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242697</xdr:colOff>
      <xdr:row>22</xdr:row>
      <xdr:rowOff>185420</xdr:rowOff>
    </xdr:from>
    <xdr:to>
      <xdr:col>5</xdr:col>
      <xdr:colOff>127</xdr:colOff>
      <xdr:row>22</xdr:row>
      <xdr:rowOff>185420</xdr:rowOff>
    </xdr:to>
    <xdr:cxnSp macro="_xll.PtreeEvent_ObjectClick">
      <xdr:nvCxnSpPr>
        <xdr:cNvPr id="349" name="PTObj_DBranchHLine_1_12"/>
        <xdr:cNvCxnSpPr/>
      </xdr:nvCxnSpPr>
      <xdr:spPr>
        <a:xfrm>
          <a:off x="4852797" y="4481195"/>
          <a:ext cx="1290955" cy="0"/>
        </a:xfrm>
        <a:prstGeom prst="line">
          <a:avLst/>
        </a:prstGeom>
        <a:ln>
          <a:solidFill>
            <a:srgbClr val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90297</xdr:colOff>
      <xdr:row>20</xdr:row>
      <xdr:rowOff>180340</xdr:rowOff>
    </xdr:from>
    <xdr:to>
      <xdr:col>4</xdr:col>
      <xdr:colOff>242697</xdr:colOff>
      <xdr:row>22</xdr:row>
      <xdr:rowOff>185420</xdr:rowOff>
    </xdr:to>
    <xdr:cxnSp macro="_xll.PtreeEvent_ObjectClick">
      <xdr:nvCxnSpPr>
        <xdr:cNvPr id="328" name="PTObj_DBranchDLine_1_12"/>
        <xdr:cNvCxnSpPr/>
      </xdr:nvCxnSpPr>
      <xdr:spPr>
        <a:xfrm>
          <a:off x="4700397" y="4095115"/>
          <a:ext cx="152400" cy="386080"/>
        </a:xfrm>
        <a:prstGeom prst="line">
          <a:avLst/>
        </a:prstGeom>
        <a:ln>
          <a:solidFill>
            <a:srgbClr val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242697</xdr:colOff>
      <xdr:row>18</xdr:row>
      <xdr:rowOff>185420</xdr:rowOff>
    </xdr:from>
    <xdr:to>
      <xdr:col>5</xdr:col>
      <xdr:colOff>127</xdr:colOff>
      <xdr:row>18</xdr:row>
      <xdr:rowOff>185420</xdr:rowOff>
    </xdr:to>
    <xdr:cxnSp macro="_xll.PtreeEvent_ObjectClick">
      <xdr:nvCxnSpPr>
        <xdr:cNvPr id="325" name="PTObj_DBranchHLine_1_11"/>
        <xdr:cNvCxnSpPr/>
      </xdr:nvCxnSpPr>
      <xdr:spPr>
        <a:xfrm>
          <a:off x="4852797" y="3719195"/>
          <a:ext cx="1290955" cy="0"/>
        </a:xfrm>
        <a:prstGeom prst="line">
          <a:avLst/>
        </a:prstGeom>
        <a:ln>
          <a:solidFill>
            <a:srgbClr val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90297</xdr:colOff>
      <xdr:row>18</xdr:row>
      <xdr:rowOff>185420</xdr:rowOff>
    </xdr:from>
    <xdr:to>
      <xdr:col>4</xdr:col>
      <xdr:colOff>242697</xdr:colOff>
      <xdr:row>20</xdr:row>
      <xdr:rowOff>180340</xdr:rowOff>
    </xdr:to>
    <xdr:cxnSp macro="_xll.PtreeEvent_ObjectClick">
      <xdr:nvCxnSpPr>
        <xdr:cNvPr id="304" name="PTObj_DBranchDLine_1_11"/>
        <xdr:cNvCxnSpPr/>
      </xdr:nvCxnSpPr>
      <xdr:spPr>
        <a:xfrm flipV="1">
          <a:off x="4700397" y="3719195"/>
          <a:ext cx="152400" cy="375920"/>
        </a:xfrm>
        <a:prstGeom prst="line">
          <a:avLst/>
        </a:prstGeom>
        <a:ln>
          <a:solidFill>
            <a:srgbClr val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242697</xdr:colOff>
      <xdr:row>20</xdr:row>
      <xdr:rowOff>185420</xdr:rowOff>
    </xdr:from>
    <xdr:to>
      <xdr:col>4</xdr:col>
      <xdr:colOff>127</xdr:colOff>
      <xdr:row>20</xdr:row>
      <xdr:rowOff>185420</xdr:rowOff>
    </xdr:to>
    <xdr:cxnSp macro="_xll.PtreeEvent_ObjectClick">
      <xdr:nvCxnSpPr>
        <xdr:cNvPr id="301" name="PTObj_DBranchHLine_1_10"/>
        <xdr:cNvCxnSpPr/>
      </xdr:nvCxnSpPr>
      <xdr:spPr>
        <a:xfrm>
          <a:off x="3300222" y="4100195"/>
          <a:ext cx="1310005" cy="0"/>
        </a:xfrm>
        <a:prstGeom prst="line">
          <a:avLst/>
        </a:prstGeom>
        <a:ln>
          <a:solidFill>
            <a:srgbClr val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90297</xdr:colOff>
      <xdr:row>20</xdr:row>
      <xdr:rowOff>185420</xdr:rowOff>
    </xdr:from>
    <xdr:to>
      <xdr:col>3</xdr:col>
      <xdr:colOff>242697</xdr:colOff>
      <xdr:row>24</xdr:row>
      <xdr:rowOff>180340</xdr:rowOff>
    </xdr:to>
    <xdr:cxnSp macro="_xll.PtreeEvent_ObjectClick">
      <xdr:nvCxnSpPr>
        <xdr:cNvPr id="280" name="PTObj_DBranchDLine_1_10"/>
        <xdr:cNvCxnSpPr/>
      </xdr:nvCxnSpPr>
      <xdr:spPr>
        <a:xfrm flipV="1">
          <a:off x="3147822" y="4100195"/>
          <a:ext cx="152400" cy="756920"/>
        </a:xfrm>
        <a:prstGeom prst="line">
          <a:avLst/>
        </a:prstGeom>
        <a:ln>
          <a:solidFill>
            <a:srgbClr val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242697</xdr:colOff>
      <xdr:row>24</xdr:row>
      <xdr:rowOff>185420</xdr:rowOff>
    </xdr:from>
    <xdr:to>
      <xdr:col>3</xdr:col>
      <xdr:colOff>127</xdr:colOff>
      <xdr:row>24</xdr:row>
      <xdr:rowOff>185420</xdr:rowOff>
    </xdr:to>
    <xdr:cxnSp macro="_xll.PtreeEvent_ObjectClick">
      <xdr:nvCxnSpPr>
        <xdr:cNvPr id="277" name="PTObj_DBranchHLine_1_3"/>
        <xdr:cNvCxnSpPr/>
      </xdr:nvCxnSpPr>
      <xdr:spPr>
        <a:xfrm>
          <a:off x="1757172" y="4862195"/>
          <a:ext cx="1300480" cy="0"/>
        </a:xfrm>
        <a:prstGeom prst="line">
          <a:avLst/>
        </a:prstGeom>
        <a:ln>
          <a:solidFill>
            <a:srgbClr val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90297</xdr:colOff>
      <xdr:row>16</xdr:row>
      <xdr:rowOff>180340</xdr:rowOff>
    </xdr:from>
    <xdr:to>
      <xdr:col>2</xdr:col>
      <xdr:colOff>242697</xdr:colOff>
      <xdr:row>24</xdr:row>
      <xdr:rowOff>185420</xdr:rowOff>
    </xdr:to>
    <xdr:cxnSp macro="_xll.PtreeEvent_ObjectClick">
      <xdr:nvCxnSpPr>
        <xdr:cNvPr id="256" name="PTObj_DBranchDLine_1_3"/>
        <xdr:cNvCxnSpPr/>
      </xdr:nvCxnSpPr>
      <xdr:spPr>
        <a:xfrm>
          <a:off x="1604772" y="3333115"/>
          <a:ext cx="152400" cy="1529080"/>
        </a:xfrm>
        <a:prstGeom prst="line">
          <a:avLst/>
        </a:prstGeom>
        <a:ln>
          <a:solidFill>
            <a:srgbClr val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242697</xdr:colOff>
      <xdr:row>14</xdr:row>
      <xdr:rowOff>185420</xdr:rowOff>
    </xdr:from>
    <xdr:to>
      <xdr:col>5</xdr:col>
      <xdr:colOff>127</xdr:colOff>
      <xdr:row>14</xdr:row>
      <xdr:rowOff>185420</xdr:rowOff>
    </xdr:to>
    <xdr:cxnSp macro="_xll.PtreeEvent_ObjectClick">
      <xdr:nvCxnSpPr>
        <xdr:cNvPr id="249" name="PTObj_DBranchHLine_1_9"/>
        <xdr:cNvCxnSpPr/>
      </xdr:nvCxnSpPr>
      <xdr:spPr>
        <a:xfrm>
          <a:off x="4852797" y="2957195"/>
          <a:ext cx="1290955" cy="0"/>
        </a:xfrm>
        <a:prstGeom prst="line">
          <a:avLst/>
        </a:prstGeom>
        <a:ln>
          <a:solidFill>
            <a:srgbClr val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90297</xdr:colOff>
      <xdr:row>12</xdr:row>
      <xdr:rowOff>180340</xdr:rowOff>
    </xdr:from>
    <xdr:to>
      <xdr:col>4</xdr:col>
      <xdr:colOff>242697</xdr:colOff>
      <xdr:row>14</xdr:row>
      <xdr:rowOff>185420</xdr:rowOff>
    </xdr:to>
    <xdr:cxnSp macro="_xll.PtreeEvent_ObjectClick">
      <xdr:nvCxnSpPr>
        <xdr:cNvPr id="248" name="PTObj_DBranchDLine_1_9"/>
        <xdr:cNvCxnSpPr/>
      </xdr:nvCxnSpPr>
      <xdr:spPr>
        <a:xfrm>
          <a:off x="4700397" y="2571115"/>
          <a:ext cx="152400" cy="386080"/>
        </a:xfrm>
        <a:prstGeom prst="line">
          <a:avLst/>
        </a:prstGeom>
        <a:ln>
          <a:solidFill>
            <a:srgbClr val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242697</xdr:colOff>
      <xdr:row>10</xdr:row>
      <xdr:rowOff>185420</xdr:rowOff>
    </xdr:from>
    <xdr:to>
      <xdr:col>5</xdr:col>
      <xdr:colOff>127</xdr:colOff>
      <xdr:row>10</xdr:row>
      <xdr:rowOff>185420</xdr:rowOff>
    </xdr:to>
    <xdr:cxnSp macro="_xll.PtreeEvent_ObjectClick">
      <xdr:nvCxnSpPr>
        <xdr:cNvPr id="245" name="PTObj_DBranchHLine_1_8"/>
        <xdr:cNvCxnSpPr/>
      </xdr:nvCxnSpPr>
      <xdr:spPr>
        <a:xfrm>
          <a:off x="4852797" y="2195195"/>
          <a:ext cx="1290955" cy="0"/>
        </a:xfrm>
        <a:prstGeom prst="line">
          <a:avLst/>
        </a:prstGeom>
        <a:ln>
          <a:solidFill>
            <a:srgbClr val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90297</xdr:colOff>
      <xdr:row>10</xdr:row>
      <xdr:rowOff>185420</xdr:rowOff>
    </xdr:from>
    <xdr:to>
      <xdr:col>4</xdr:col>
      <xdr:colOff>242697</xdr:colOff>
      <xdr:row>12</xdr:row>
      <xdr:rowOff>180340</xdr:rowOff>
    </xdr:to>
    <xdr:cxnSp macro="_xll.PtreeEvent_ObjectClick">
      <xdr:nvCxnSpPr>
        <xdr:cNvPr id="244" name="PTObj_DBranchDLine_1_8"/>
        <xdr:cNvCxnSpPr/>
      </xdr:nvCxnSpPr>
      <xdr:spPr>
        <a:xfrm flipV="1">
          <a:off x="4700397" y="2195195"/>
          <a:ext cx="152400" cy="375920"/>
        </a:xfrm>
        <a:prstGeom prst="line">
          <a:avLst/>
        </a:prstGeom>
        <a:ln>
          <a:solidFill>
            <a:srgbClr val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242697</xdr:colOff>
      <xdr:row>12</xdr:row>
      <xdr:rowOff>185420</xdr:rowOff>
    </xdr:from>
    <xdr:to>
      <xdr:col>4</xdr:col>
      <xdr:colOff>127</xdr:colOff>
      <xdr:row>12</xdr:row>
      <xdr:rowOff>185420</xdr:rowOff>
    </xdr:to>
    <xdr:cxnSp macro="_xll.PtreeEvent_ObjectClick">
      <xdr:nvCxnSpPr>
        <xdr:cNvPr id="241" name="PTObj_DBranchHLine_1_5"/>
        <xdr:cNvCxnSpPr/>
      </xdr:nvCxnSpPr>
      <xdr:spPr>
        <a:xfrm>
          <a:off x="3300222" y="2576195"/>
          <a:ext cx="1310005" cy="0"/>
        </a:xfrm>
        <a:prstGeom prst="line">
          <a:avLst/>
        </a:prstGeom>
        <a:ln>
          <a:solidFill>
            <a:srgbClr val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90297</xdr:colOff>
      <xdr:row>8</xdr:row>
      <xdr:rowOff>180340</xdr:rowOff>
    </xdr:from>
    <xdr:to>
      <xdr:col>3</xdr:col>
      <xdr:colOff>242697</xdr:colOff>
      <xdr:row>12</xdr:row>
      <xdr:rowOff>185420</xdr:rowOff>
    </xdr:to>
    <xdr:cxnSp macro="_xll.PtreeEvent_ObjectClick">
      <xdr:nvCxnSpPr>
        <xdr:cNvPr id="240" name="PTObj_DBranchDLine_1_5"/>
        <xdr:cNvCxnSpPr/>
      </xdr:nvCxnSpPr>
      <xdr:spPr>
        <a:xfrm>
          <a:off x="3147822" y="1809115"/>
          <a:ext cx="152400" cy="767080"/>
        </a:xfrm>
        <a:prstGeom prst="line">
          <a:avLst/>
        </a:prstGeom>
        <a:ln>
          <a:solidFill>
            <a:srgbClr val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242697</xdr:colOff>
      <xdr:row>6</xdr:row>
      <xdr:rowOff>185420</xdr:rowOff>
    </xdr:from>
    <xdr:to>
      <xdr:col>5</xdr:col>
      <xdr:colOff>127</xdr:colOff>
      <xdr:row>6</xdr:row>
      <xdr:rowOff>185420</xdr:rowOff>
    </xdr:to>
    <xdr:cxnSp macro="_xll.PtreeEvent_ObjectClick">
      <xdr:nvCxnSpPr>
        <xdr:cNvPr id="233" name="PTObj_DBranchHLine_1_7"/>
        <xdr:cNvCxnSpPr/>
      </xdr:nvCxnSpPr>
      <xdr:spPr>
        <a:xfrm>
          <a:off x="4852797" y="1433195"/>
          <a:ext cx="1148080" cy="0"/>
        </a:xfrm>
        <a:prstGeom prst="line">
          <a:avLst/>
        </a:prstGeom>
        <a:ln>
          <a:solidFill>
            <a:srgbClr val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90297</xdr:colOff>
      <xdr:row>4</xdr:row>
      <xdr:rowOff>180340</xdr:rowOff>
    </xdr:from>
    <xdr:to>
      <xdr:col>4</xdr:col>
      <xdr:colOff>242697</xdr:colOff>
      <xdr:row>6</xdr:row>
      <xdr:rowOff>185420</xdr:rowOff>
    </xdr:to>
    <xdr:cxnSp macro="_xll.PtreeEvent_ObjectClick">
      <xdr:nvCxnSpPr>
        <xdr:cNvPr id="232" name="PTObj_DBranchDLine_1_7"/>
        <xdr:cNvCxnSpPr/>
      </xdr:nvCxnSpPr>
      <xdr:spPr>
        <a:xfrm>
          <a:off x="4700397" y="1047115"/>
          <a:ext cx="152400" cy="386080"/>
        </a:xfrm>
        <a:prstGeom prst="line">
          <a:avLst/>
        </a:prstGeom>
        <a:ln>
          <a:solidFill>
            <a:srgbClr val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242697</xdr:colOff>
      <xdr:row>2</xdr:row>
      <xdr:rowOff>185420</xdr:rowOff>
    </xdr:from>
    <xdr:to>
      <xdr:col>5</xdr:col>
      <xdr:colOff>127</xdr:colOff>
      <xdr:row>2</xdr:row>
      <xdr:rowOff>185420</xdr:rowOff>
    </xdr:to>
    <xdr:cxnSp macro="_xll.PtreeEvent_ObjectClick">
      <xdr:nvCxnSpPr>
        <xdr:cNvPr id="229" name="PTObj_DBranchHLine_1_6"/>
        <xdr:cNvCxnSpPr/>
      </xdr:nvCxnSpPr>
      <xdr:spPr>
        <a:xfrm>
          <a:off x="4852797" y="671195"/>
          <a:ext cx="919480" cy="0"/>
        </a:xfrm>
        <a:prstGeom prst="line">
          <a:avLst/>
        </a:prstGeom>
        <a:ln>
          <a:solidFill>
            <a:srgbClr val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90297</xdr:colOff>
      <xdr:row>2</xdr:row>
      <xdr:rowOff>185420</xdr:rowOff>
    </xdr:from>
    <xdr:to>
      <xdr:col>4</xdr:col>
      <xdr:colOff>242697</xdr:colOff>
      <xdr:row>4</xdr:row>
      <xdr:rowOff>180340</xdr:rowOff>
    </xdr:to>
    <xdr:cxnSp macro="_xll.PtreeEvent_ObjectClick">
      <xdr:nvCxnSpPr>
        <xdr:cNvPr id="225" name="PTObj_DBranchDLine_1_6"/>
        <xdr:cNvCxnSpPr/>
      </xdr:nvCxnSpPr>
      <xdr:spPr>
        <a:xfrm flipV="1">
          <a:off x="4700397" y="671195"/>
          <a:ext cx="152400" cy="375920"/>
        </a:xfrm>
        <a:prstGeom prst="line">
          <a:avLst/>
        </a:prstGeom>
        <a:ln>
          <a:solidFill>
            <a:srgbClr val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242697</xdr:colOff>
      <xdr:row>4</xdr:row>
      <xdr:rowOff>185420</xdr:rowOff>
    </xdr:from>
    <xdr:to>
      <xdr:col>4</xdr:col>
      <xdr:colOff>127</xdr:colOff>
      <xdr:row>4</xdr:row>
      <xdr:rowOff>185420</xdr:rowOff>
    </xdr:to>
    <xdr:cxnSp macro="_xll.PtreeEvent_ObjectClick">
      <xdr:nvCxnSpPr>
        <xdr:cNvPr id="30" name="PTObj_DBranchHLine_1_4"/>
        <xdr:cNvCxnSpPr/>
      </xdr:nvCxnSpPr>
      <xdr:spPr>
        <a:xfrm>
          <a:off x="3300222" y="671195"/>
          <a:ext cx="1310005" cy="0"/>
        </a:xfrm>
        <a:prstGeom prst="line">
          <a:avLst/>
        </a:prstGeom>
        <a:ln>
          <a:solidFill>
            <a:srgbClr val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90297</xdr:colOff>
      <xdr:row>4</xdr:row>
      <xdr:rowOff>185420</xdr:rowOff>
    </xdr:from>
    <xdr:to>
      <xdr:col>3</xdr:col>
      <xdr:colOff>242697</xdr:colOff>
      <xdr:row>8</xdr:row>
      <xdr:rowOff>180340</xdr:rowOff>
    </xdr:to>
    <xdr:cxnSp macro="_xll.PtreeEvent_ObjectClick">
      <xdr:nvCxnSpPr>
        <xdr:cNvPr id="29" name="PTObj_DBranchDLine_1_4"/>
        <xdr:cNvCxnSpPr/>
      </xdr:nvCxnSpPr>
      <xdr:spPr>
        <a:xfrm flipV="1">
          <a:off x="3147822" y="671195"/>
          <a:ext cx="152400" cy="375920"/>
        </a:xfrm>
        <a:prstGeom prst="line">
          <a:avLst/>
        </a:prstGeom>
        <a:ln>
          <a:solidFill>
            <a:srgbClr val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242697</xdr:colOff>
      <xdr:row>8</xdr:row>
      <xdr:rowOff>185420</xdr:rowOff>
    </xdr:from>
    <xdr:to>
      <xdr:col>3</xdr:col>
      <xdr:colOff>127</xdr:colOff>
      <xdr:row>8</xdr:row>
      <xdr:rowOff>185420</xdr:rowOff>
    </xdr:to>
    <xdr:cxnSp macro="_xll.PtreeEvent_ObjectClick">
      <xdr:nvCxnSpPr>
        <xdr:cNvPr id="18" name="PTObj_DBranchHLine_1_2"/>
        <xdr:cNvCxnSpPr/>
      </xdr:nvCxnSpPr>
      <xdr:spPr>
        <a:xfrm>
          <a:off x="1757172" y="671195"/>
          <a:ext cx="1300480" cy="0"/>
        </a:xfrm>
        <a:prstGeom prst="line">
          <a:avLst/>
        </a:prstGeom>
        <a:ln>
          <a:solidFill>
            <a:srgbClr val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90297</xdr:colOff>
      <xdr:row>8</xdr:row>
      <xdr:rowOff>185420</xdr:rowOff>
    </xdr:from>
    <xdr:to>
      <xdr:col>2</xdr:col>
      <xdr:colOff>242697</xdr:colOff>
      <xdr:row>16</xdr:row>
      <xdr:rowOff>180340</xdr:rowOff>
    </xdr:to>
    <xdr:cxnSp macro="_xll.PtreeEvent_ObjectClick">
      <xdr:nvCxnSpPr>
        <xdr:cNvPr id="17" name="PTObj_DBranchDLine_1_2"/>
        <xdr:cNvCxnSpPr/>
      </xdr:nvCxnSpPr>
      <xdr:spPr>
        <a:xfrm flipV="1">
          <a:off x="1604772" y="671195"/>
          <a:ext cx="152400" cy="375920"/>
        </a:xfrm>
        <a:prstGeom prst="line">
          <a:avLst/>
        </a:prstGeom>
        <a:ln>
          <a:solidFill>
            <a:srgbClr val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177800</xdr:colOff>
      <xdr:row>16</xdr:row>
      <xdr:rowOff>185420</xdr:rowOff>
    </xdr:from>
    <xdr:to>
      <xdr:col>2</xdr:col>
      <xdr:colOff>127</xdr:colOff>
      <xdr:row>16</xdr:row>
      <xdr:rowOff>185420</xdr:rowOff>
    </xdr:to>
    <xdr:cxnSp macro="_xll.PtreeEvent_ObjectClick">
      <xdr:nvCxnSpPr>
        <xdr:cNvPr id="6" name="PTObj_DBranchHLine_1_1"/>
        <xdr:cNvCxnSpPr/>
      </xdr:nvCxnSpPr>
      <xdr:spPr>
        <a:xfrm>
          <a:off x="358775" y="671195"/>
          <a:ext cx="1155827" cy="0"/>
        </a:xfrm>
        <a:prstGeom prst="line">
          <a:avLst/>
        </a:prstGeom>
        <a:ln>
          <a:solidFill>
            <a:srgbClr val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2</xdr:col>
      <xdr:colOff>127</xdr:colOff>
      <xdr:row>16</xdr:row>
      <xdr:rowOff>90170</xdr:rowOff>
    </xdr:from>
    <xdr:to>
      <xdr:col>2</xdr:col>
      <xdr:colOff>190627</xdr:colOff>
      <xdr:row>17</xdr:row>
      <xdr:rowOff>90170</xdr:rowOff>
    </xdr:to>
    <xdr:sp macro="_xll.PtreeEvent_ObjectClick" textlink="">
      <xdr:nvSpPr>
        <xdr:cNvPr id="5" name="PTObj_DNode_1_1"/>
        <xdr:cNvSpPr/>
      </xdr:nvSpPr>
      <xdr:spPr>
        <a:xfrm>
          <a:off x="1514602" y="575945"/>
          <a:ext cx="190500" cy="190500"/>
        </a:xfrm>
        <a:prstGeom prst="rect">
          <a:avLst/>
        </a:prstGeom>
        <a:solidFill>
          <a:srgbClr val="008000"/>
        </a:solidFill>
        <a:ln w="12700">
          <a:solidFill>
            <a:srgbClr val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oneCellAnchor>
    <xdr:from>
      <xdr:col>1</xdr:col>
      <xdr:colOff>215900</xdr:colOff>
      <xdr:row>16</xdr:row>
      <xdr:rowOff>95107</xdr:rowOff>
    </xdr:from>
    <xdr:ext cx="597728" cy="180627"/>
    <xdr:sp macro="_xll.PtreeEvent_ObjectClick" textlink="">
      <xdr:nvSpPr>
        <xdr:cNvPr id="7" name="PTObj_DBranchName_1_1"/>
        <xdr:cNvSpPr txBox="1"/>
      </xdr:nvSpPr>
      <xdr:spPr>
        <a:xfrm>
          <a:off x="396875" y="580882"/>
          <a:ext cx="597728" cy="180627"/>
        </a:xfrm>
        <a:prstGeom prst="rect">
          <a:avLst/>
        </a:prstGeom>
        <a:solidFill>
          <a:schemeClr val="lt1"/>
        </a:solidFill>
        <a:ln w="9525" cmpd="sng">
          <a:solidFill>
            <a:srgbClr val="80808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wrap="none" lIns="27432" tIns="27432" rIns="27432" bIns="27432" rtlCol="0" anchor="ctr">
          <a:spAutoFit/>
        </a:bodyPr>
        <a:lstStyle/>
        <a:p>
          <a:pPr algn="ctr"/>
          <a:r>
            <a:rPr lang="en-US" sz="800"/>
            <a:t>Dating Game</a:t>
          </a:r>
        </a:p>
      </xdr:txBody>
    </xdr:sp>
    <xdr:clientData/>
  </xdr:oneCellAnchor>
  <xdr:twoCellAnchor editAs="oneCell">
    <xdr:from>
      <xdr:col>3</xdr:col>
      <xdr:colOff>127</xdr:colOff>
      <xdr:row>8</xdr:row>
      <xdr:rowOff>90170</xdr:rowOff>
    </xdr:from>
    <xdr:to>
      <xdr:col>3</xdr:col>
      <xdr:colOff>190627</xdr:colOff>
      <xdr:row>9</xdr:row>
      <xdr:rowOff>90170</xdr:rowOff>
    </xdr:to>
    <xdr:sp macro="_xll.PtreeEvent_ObjectClick" textlink="">
      <xdr:nvSpPr>
        <xdr:cNvPr id="16" name="PTObj_DNode_1_2"/>
        <xdr:cNvSpPr/>
      </xdr:nvSpPr>
      <xdr:spPr>
        <a:xfrm>
          <a:off x="3057652" y="575945"/>
          <a:ext cx="190500" cy="190500"/>
        </a:xfrm>
        <a:prstGeom prst="ellipse">
          <a:avLst/>
        </a:prstGeom>
        <a:solidFill>
          <a:srgbClr val="800000"/>
        </a:solidFill>
        <a:ln w="12700">
          <a:solidFill>
            <a:srgbClr val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oneCellAnchor>
    <xdr:from>
      <xdr:col>2</xdr:col>
      <xdr:colOff>280797</xdr:colOff>
      <xdr:row>8</xdr:row>
      <xdr:rowOff>95107</xdr:rowOff>
    </xdr:from>
    <xdr:ext cx="329257" cy="180627"/>
    <xdr:sp macro="_xll.PtreeEvent_ObjectClick" textlink="">
      <xdr:nvSpPr>
        <xdr:cNvPr id="19" name="PTObj_DBranchName_1_2"/>
        <xdr:cNvSpPr txBox="1"/>
      </xdr:nvSpPr>
      <xdr:spPr>
        <a:xfrm>
          <a:off x="1795272" y="580882"/>
          <a:ext cx="329257" cy="180627"/>
        </a:xfrm>
        <a:prstGeom prst="rect">
          <a:avLst/>
        </a:prstGeom>
        <a:solidFill>
          <a:schemeClr val="lt1"/>
        </a:solidFill>
        <a:ln w="9525" cmpd="sng">
          <a:solidFill>
            <a:srgbClr val="80808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wrap="none" lIns="27432" tIns="27432" rIns="27432" bIns="27432" rtlCol="0" anchor="ctr">
          <a:spAutoFit/>
        </a:bodyPr>
        <a:lstStyle/>
        <a:p>
          <a:pPr algn="ctr"/>
          <a:r>
            <a:rPr lang="en-US" sz="800"/>
            <a:t>Online</a:t>
          </a:r>
        </a:p>
      </xdr:txBody>
    </xdr:sp>
    <xdr:clientData/>
  </xdr:oneCellAnchor>
  <xdr:twoCellAnchor editAs="oneCell">
    <xdr:from>
      <xdr:col>4</xdr:col>
      <xdr:colOff>127</xdr:colOff>
      <xdr:row>4</xdr:row>
      <xdr:rowOff>90170</xdr:rowOff>
    </xdr:from>
    <xdr:to>
      <xdr:col>4</xdr:col>
      <xdr:colOff>190627</xdr:colOff>
      <xdr:row>5</xdr:row>
      <xdr:rowOff>90170</xdr:rowOff>
    </xdr:to>
    <xdr:sp macro="_xll.PtreeEvent_ObjectClick" textlink="">
      <xdr:nvSpPr>
        <xdr:cNvPr id="28" name="PTObj_DNode_1_4"/>
        <xdr:cNvSpPr/>
      </xdr:nvSpPr>
      <xdr:spPr>
        <a:xfrm>
          <a:off x="4610227" y="575945"/>
          <a:ext cx="190500" cy="190500"/>
        </a:xfrm>
        <a:prstGeom prst="ellipse">
          <a:avLst/>
        </a:prstGeom>
        <a:solidFill>
          <a:srgbClr val="800000"/>
        </a:solidFill>
        <a:ln w="12700">
          <a:solidFill>
            <a:srgbClr val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oneCellAnchor>
    <xdr:from>
      <xdr:col>3</xdr:col>
      <xdr:colOff>280797</xdr:colOff>
      <xdr:row>4</xdr:row>
      <xdr:rowOff>95107</xdr:rowOff>
    </xdr:from>
    <xdr:ext cx="238527" cy="180627"/>
    <xdr:sp macro="_xll.PtreeEvent_ObjectClick" textlink="">
      <xdr:nvSpPr>
        <xdr:cNvPr id="31" name="PTObj_DBranchName_1_4"/>
        <xdr:cNvSpPr txBox="1"/>
      </xdr:nvSpPr>
      <xdr:spPr>
        <a:xfrm>
          <a:off x="3338322" y="580882"/>
          <a:ext cx="238527" cy="180627"/>
        </a:xfrm>
        <a:prstGeom prst="rect">
          <a:avLst/>
        </a:prstGeom>
        <a:solidFill>
          <a:schemeClr val="lt1"/>
        </a:solidFill>
        <a:ln w="9525" cmpd="sng">
          <a:solidFill>
            <a:srgbClr val="80808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wrap="none" lIns="27432" tIns="27432" rIns="27432" bIns="27432" rtlCol="0" anchor="ctr">
          <a:spAutoFit/>
        </a:bodyPr>
        <a:lstStyle/>
        <a:p>
          <a:pPr algn="ctr"/>
          <a:r>
            <a:rPr lang="en-US" sz="800"/>
            <a:t>Bliss</a:t>
          </a:r>
        </a:p>
      </xdr:txBody>
    </xdr:sp>
    <xdr:clientData/>
  </xdr:oneCellAnchor>
  <xdr:twoCellAnchor editAs="oneCell">
    <xdr:from>
      <xdr:col>5</xdr:col>
      <xdr:colOff>127</xdr:colOff>
      <xdr:row>2</xdr:row>
      <xdr:rowOff>90170</xdr:rowOff>
    </xdr:from>
    <xdr:to>
      <xdr:col>5</xdr:col>
      <xdr:colOff>190627</xdr:colOff>
      <xdr:row>3</xdr:row>
      <xdr:rowOff>90170</xdr:rowOff>
    </xdr:to>
    <xdr:sp macro="_xll.PtreeEvent_ObjectClick" textlink="">
      <xdr:nvSpPr>
        <xdr:cNvPr id="224" name="PTObj_DNode_1_6"/>
        <xdr:cNvSpPr/>
      </xdr:nvSpPr>
      <xdr:spPr>
        <a:xfrm rot="-5400000">
          <a:off x="5772277" y="575945"/>
          <a:ext cx="190500" cy="190500"/>
        </a:xfrm>
        <a:prstGeom prst="triangle">
          <a:avLst/>
        </a:prstGeom>
        <a:solidFill>
          <a:srgbClr val="000080"/>
        </a:solidFill>
        <a:ln w="12700">
          <a:solidFill>
            <a:srgbClr val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oneCellAnchor>
    <xdr:from>
      <xdr:col>4</xdr:col>
      <xdr:colOff>280797</xdr:colOff>
      <xdr:row>2</xdr:row>
      <xdr:rowOff>95107</xdr:rowOff>
    </xdr:from>
    <xdr:ext cx="342979" cy="180627"/>
    <xdr:sp macro="_xll.PtreeEvent_ObjectClick" textlink="">
      <xdr:nvSpPr>
        <xdr:cNvPr id="230" name="PTObj_DBranchName_1_6"/>
        <xdr:cNvSpPr txBox="1"/>
      </xdr:nvSpPr>
      <xdr:spPr>
        <a:xfrm>
          <a:off x="4890897" y="580882"/>
          <a:ext cx="342979" cy="180627"/>
        </a:xfrm>
        <a:prstGeom prst="rect">
          <a:avLst/>
        </a:prstGeom>
        <a:solidFill>
          <a:schemeClr val="lt1"/>
        </a:solidFill>
        <a:ln w="9525" cmpd="sng">
          <a:solidFill>
            <a:srgbClr val="80808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wrap="none" lIns="27432" tIns="27432" rIns="27432" bIns="27432" rtlCol="0" anchor="ctr">
          <a:spAutoFit/>
        </a:bodyPr>
        <a:lstStyle/>
        <a:p>
          <a:pPr algn="ctr"/>
          <a:r>
            <a:rPr lang="en-US" sz="800"/>
            <a:t>Stalker</a:t>
          </a:r>
        </a:p>
      </xdr:txBody>
    </xdr:sp>
    <xdr:clientData/>
  </xdr:oneCellAnchor>
  <xdr:twoCellAnchor editAs="oneCell">
    <xdr:from>
      <xdr:col>5</xdr:col>
      <xdr:colOff>127</xdr:colOff>
      <xdr:row>6</xdr:row>
      <xdr:rowOff>90170</xdr:rowOff>
    </xdr:from>
    <xdr:to>
      <xdr:col>5</xdr:col>
      <xdr:colOff>190627</xdr:colOff>
      <xdr:row>7</xdr:row>
      <xdr:rowOff>90170</xdr:rowOff>
    </xdr:to>
    <xdr:sp macro="_xll.PtreeEvent_ObjectClick" textlink="">
      <xdr:nvSpPr>
        <xdr:cNvPr id="231" name="PTObj_DNode_1_7"/>
        <xdr:cNvSpPr/>
      </xdr:nvSpPr>
      <xdr:spPr>
        <a:xfrm rot="-5400000">
          <a:off x="6000877" y="1337945"/>
          <a:ext cx="190500" cy="190500"/>
        </a:xfrm>
        <a:prstGeom prst="triangle">
          <a:avLst/>
        </a:prstGeom>
        <a:solidFill>
          <a:srgbClr val="000080"/>
        </a:solidFill>
        <a:ln w="12700">
          <a:solidFill>
            <a:srgbClr val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oneCellAnchor>
    <xdr:from>
      <xdr:col>4</xdr:col>
      <xdr:colOff>280797</xdr:colOff>
      <xdr:row>6</xdr:row>
      <xdr:rowOff>95107</xdr:rowOff>
    </xdr:from>
    <xdr:ext cx="529376" cy="180627"/>
    <xdr:sp macro="_xll.PtreeEvent_ObjectClick" textlink="">
      <xdr:nvSpPr>
        <xdr:cNvPr id="234" name="PTObj_DBranchName_1_7"/>
        <xdr:cNvSpPr txBox="1"/>
      </xdr:nvSpPr>
      <xdr:spPr>
        <a:xfrm>
          <a:off x="4890897" y="1342882"/>
          <a:ext cx="529376" cy="180627"/>
        </a:xfrm>
        <a:prstGeom prst="rect">
          <a:avLst/>
        </a:prstGeom>
        <a:solidFill>
          <a:schemeClr val="lt1"/>
        </a:solidFill>
        <a:ln w="9525" cmpd="sng">
          <a:solidFill>
            <a:srgbClr val="80808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wrap="none" lIns="27432" tIns="27432" rIns="27432" bIns="27432" rtlCol="0" anchor="ctr">
          <a:spAutoFit/>
        </a:bodyPr>
        <a:lstStyle/>
        <a:p>
          <a:pPr algn="ctr"/>
          <a:r>
            <a:rPr lang="en-US" sz="800"/>
            <a:t>Just friends</a:t>
          </a:r>
        </a:p>
      </xdr:txBody>
    </xdr:sp>
    <xdr:clientData/>
  </xdr:oneCellAnchor>
  <xdr:twoCellAnchor editAs="oneCell">
    <xdr:from>
      <xdr:col>4</xdr:col>
      <xdr:colOff>127</xdr:colOff>
      <xdr:row>12</xdr:row>
      <xdr:rowOff>90170</xdr:rowOff>
    </xdr:from>
    <xdr:to>
      <xdr:col>4</xdr:col>
      <xdr:colOff>190627</xdr:colOff>
      <xdr:row>13</xdr:row>
      <xdr:rowOff>90170</xdr:rowOff>
    </xdr:to>
    <xdr:sp macro="_xll.PtreeEvent_ObjectClick" textlink="">
      <xdr:nvSpPr>
        <xdr:cNvPr id="239" name="PTObj_DNode_1_5"/>
        <xdr:cNvSpPr/>
      </xdr:nvSpPr>
      <xdr:spPr>
        <a:xfrm>
          <a:off x="4610227" y="2480945"/>
          <a:ext cx="190500" cy="190500"/>
        </a:xfrm>
        <a:prstGeom prst="ellipse">
          <a:avLst/>
        </a:prstGeom>
        <a:solidFill>
          <a:srgbClr val="800000"/>
        </a:solidFill>
        <a:ln w="12700">
          <a:solidFill>
            <a:srgbClr val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oneCellAnchor>
    <xdr:from>
      <xdr:col>3</xdr:col>
      <xdr:colOff>280797</xdr:colOff>
      <xdr:row>12</xdr:row>
      <xdr:rowOff>95107</xdr:rowOff>
    </xdr:from>
    <xdr:ext cx="714362" cy="180627"/>
    <xdr:sp macro="_xll.PtreeEvent_ObjectClick" textlink="">
      <xdr:nvSpPr>
        <xdr:cNvPr id="242" name="PTObj_DBranchName_1_5"/>
        <xdr:cNvSpPr txBox="1"/>
      </xdr:nvSpPr>
      <xdr:spPr>
        <a:xfrm>
          <a:off x="3338322" y="2485882"/>
          <a:ext cx="714362" cy="180627"/>
        </a:xfrm>
        <a:prstGeom prst="rect">
          <a:avLst/>
        </a:prstGeom>
        <a:solidFill>
          <a:schemeClr val="lt1"/>
        </a:solidFill>
        <a:ln w="9525" cmpd="sng">
          <a:solidFill>
            <a:srgbClr val="80808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wrap="none" lIns="27432" tIns="27432" rIns="27432" bIns="27432" rtlCol="0" anchor="ctr">
          <a:spAutoFit/>
        </a:bodyPr>
        <a:lstStyle/>
        <a:p>
          <a:pPr algn="ctr"/>
          <a:r>
            <a:rPr lang="en-US" sz="800"/>
            <a:t>Everlasting Pain</a:t>
          </a:r>
        </a:p>
      </xdr:txBody>
    </xdr:sp>
    <xdr:clientData/>
  </xdr:oneCellAnchor>
  <xdr:twoCellAnchor editAs="oneCell">
    <xdr:from>
      <xdr:col>5</xdr:col>
      <xdr:colOff>127</xdr:colOff>
      <xdr:row>10</xdr:row>
      <xdr:rowOff>90170</xdr:rowOff>
    </xdr:from>
    <xdr:to>
      <xdr:col>5</xdr:col>
      <xdr:colOff>190627</xdr:colOff>
      <xdr:row>11</xdr:row>
      <xdr:rowOff>90170</xdr:rowOff>
    </xdr:to>
    <xdr:sp macro="_xll.PtreeEvent_ObjectClick" textlink="">
      <xdr:nvSpPr>
        <xdr:cNvPr id="243" name="PTObj_DNode_1_8"/>
        <xdr:cNvSpPr/>
      </xdr:nvSpPr>
      <xdr:spPr>
        <a:xfrm rot="-5400000">
          <a:off x="6143752" y="2099945"/>
          <a:ext cx="190500" cy="190500"/>
        </a:xfrm>
        <a:prstGeom prst="triangle">
          <a:avLst/>
        </a:prstGeom>
        <a:solidFill>
          <a:srgbClr val="000080"/>
        </a:solidFill>
        <a:ln w="12700">
          <a:solidFill>
            <a:srgbClr val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oneCellAnchor>
    <xdr:from>
      <xdr:col>4</xdr:col>
      <xdr:colOff>280797</xdr:colOff>
      <xdr:row>10</xdr:row>
      <xdr:rowOff>95107</xdr:rowOff>
    </xdr:from>
    <xdr:ext cx="342978" cy="180627"/>
    <xdr:sp macro="_xll.PtreeEvent_ObjectClick" textlink="">
      <xdr:nvSpPr>
        <xdr:cNvPr id="246" name="PTObj_DBranchName_1_8"/>
        <xdr:cNvSpPr txBox="1"/>
      </xdr:nvSpPr>
      <xdr:spPr>
        <a:xfrm>
          <a:off x="4890897" y="2104882"/>
          <a:ext cx="342978" cy="180627"/>
        </a:xfrm>
        <a:prstGeom prst="rect">
          <a:avLst/>
        </a:prstGeom>
        <a:solidFill>
          <a:schemeClr val="lt1"/>
        </a:solidFill>
        <a:ln w="9525" cmpd="sng">
          <a:solidFill>
            <a:srgbClr val="80808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wrap="none" lIns="27432" tIns="27432" rIns="27432" bIns="27432" rtlCol="0" anchor="ctr">
          <a:spAutoFit/>
        </a:bodyPr>
        <a:lstStyle/>
        <a:p>
          <a:pPr algn="ctr"/>
          <a:r>
            <a:rPr lang="en-US" sz="800"/>
            <a:t>Stalker</a:t>
          </a:r>
        </a:p>
      </xdr:txBody>
    </xdr:sp>
    <xdr:clientData/>
  </xdr:oneCellAnchor>
  <xdr:twoCellAnchor editAs="oneCell">
    <xdr:from>
      <xdr:col>5</xdr:col>
      <xdr:colOff>127</xdr:colOff>
      <xdr:row>14</xdr:row>
      <xdr:rowOff>90170</xdr:rowOff>
    </xdr:from>
    <xdr:to>
      <xdr:col>5</xdr:col>
      <xdr:colOff>190627</xdr:colOff>
      <xdr:row>15</xdr:row>
      <xdr:rowOff>90170</xdr:rowOff>
    </xdr:to>
    <xdr:sp macro="_xll.PtreeEvent_ObjectClick" textlink="">
      <xdr:nvSpPr>
        <xdr:cNvPr id="247" name="PTObj_DNode_1_9"/>
        <xdr:cNvSpPr/>
      </xdr:nvSpPr>
      <xdr:spPr>
        <a:xfrm rot="-5400000">
          <a:off x="6143752" y="2861945"/>
          <a:ext cx="190500" cy="190500"/>
        </a:xfrm>
        <a:prstGeom prst="triangle">
          <a:avLst/>
        </a:prstGeom>
        <a:solidFill>
          <a:srgbClr val="000080"/>
        </a:solidFill>
        <a:ln w="12700">
          <a:solidFill>
            <a:srgbClr val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oneCellAnchor>
    <xdr:from>
      <xdr:col>4</xdr:col>
      <xdr:colOff>280797</xdr:colOff>
      <xdr:row>14</xdr:row>
      <xdr:rowOff>95107</xdr:rowOff>
    </xdr:from>
    <xdr:ext cx="529376" cy="180627"/>
    <xdr:sp macro="_xll.PtreeEvent_ObjectClick" textlink="">
      <xdr:nvSpPr>
        <xdr:cNvPr id="250" name="PTObj_DBranchName_1_9"/>
        <xdr:cNvSpPr txBox="1"/>
      </xdr:nvSpPr>
      <xdr:spPr>
        <a:xfrm>
          <a:off x="4890897" y="2866882"/>
          <a:ext cx="529376" cy="180627"/>
        </a:xfrm>
        <a:prstGeom prst="rect">
          <a:avLst/>
        </a:prstGeom>
        <a:solidFill>
          <a:schemeClr val="lt1"/>
        </a:solidFill>
        <a:ln w="9525" cmpd="sng">
          <a:solidFill>
            <a:srgbClr val="80808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wrap="none" lIns="27432" tIns="27432" rIns="27432" bIns="27432" rtlCol="0" anchor="ctr">
          <a:spAutoFit/>
        </a:bodyPr>
        <a:lstStyle/>
        <a:p>
          <a:pPr algn="ctr"/>
          <a:r>
            <a:rPr lang="en-US" sz="800"/>
            <a:t>Just friends</a:t>
          </a:r>
        </a:p>
      </xdr:txBody>
    </xdr:sp>
    <xdr:clientData/>
  </xdr:oneCellAnchor>
  <xdr:twoCellAnchor editAs="oneCell">
    <xdr:from>
      <xdr:col>3</xdr:col>
      <xdr:colOff>127</xdr:colOff>
      <xdr:row>24</xdr:row>
      <xdr:rowOff>90170</xdr:rowOff>
    </xdr:from>
    <xdr:to>
      <xdr:col>3</xdr:col>
      <xdr:colOff>190627</xdr:colOff>
      <xdr:row>25</xdr:row>
      <xdr:rowOff>90170</xdr:rowOff>
    </xdr:to>
    <xdr:sp macro="_xll.PtreeEvent_ObjectClick" textlink="">
      <xdr:nvSpPr>
        <xdr:cNvPr id="255" name="PTObj_DNode_1_3"/>
        <xdr:cNvSpPr/>
      </xdr:nvSpPr>
      <xdr:spPr>
        <a:xfrm>
          <a:off x="3057652" y="4766945"/>
          <a:ext cx="190500" cy="190500"/>
        </a:xfrm>
        <a:prstGeom prst="ellipse">
          <a:avLst/>
        </a:prstGeom>
        <a:solidFill>
          <a:srgbClr val="800000"/>
        </a:solidFill>
        <a:ln w="12700">
          <a:solidFill>
            <a:srgbClr val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oneCellAnchor>
    <xdr:from>
      <xdr:col>2</xdr:col>
      <xdr:colOff>280797</xdr:colOff>
      <xdr:row>24</xdr:row>
      <xdr:rowOff>95107</xdr:rowOff>
    </xdr:from>
    <xdr:ext cx="568104" cy="180627"/>
    <xdr:sp macro="_xll.PtreeEvent_ObjectClick" textlink="">
      <xdr:nvSpPr>
        <xdr:cNvPr id="278" name="PTObj_DBranchName_1_3"/>
        <xdr:cNvSpPr txBox="1"/>
      </xdr:nvSpPr>
      <xdr:spPr>
        <a:xfrm>
          <a:off x="1795272" y="4771882"/>
          <a:ext cx="568104" cy="180627"/>
        </a:xfrm>
        <a:prstGeom prst="rect">
          <a:avLst/>
        </a:prstGeom>
        <a:solidFill>
          <a:schemeClr val="lt1"/>
        </a:solidFill>
        <a:ln w="9525" cmpd="sng">
          <a:solidFill>
            <a:srgbClr val="80808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wrap="none" lIns="27432" tIns="27432" rIns="27432" bIns="27432" rtlCol="0" anchor="ctr">
          <a:spAutoFit/>
        </a:bodyPr>
        <a:lstStyle/>
        <a:p>
          <a:pPr algn="ctr"/>
          <a:r>
            <a:rPr lang="en-US" sz="800"/>
            <a:t>Kollege Klub</a:t>
          </a:r>
        </a:p>
      </xdr:txBody>
    </xdr:sp>
    <xdr:clientData/>
  </xdr:oneCellAnchor>
  <xdr:twoCellAnchor editAs="oneCell">
    <xdr:from>
      <xdr:col>4</xdr:col>
      <xdr:colOff>127</xdr:colOff>
      <xdr:row>20</xdr:row>
      <xdr:rowOff>90170</xdr:rowOff>
    </xdr:from>
    <xdr:to>
      <xdr:col>4</xdr:col>
      <xdr:colOff>190627</xdr:colOff>
      <xdr:row>21</xdr:row>
      <xdr:rowOff>90170</xdr:rowOff>
    </xdr:to>
    <xdr:sp macro="_xll.PtreeEvent_ObjectClick" textlink="">
      <xdr:nvSpPr>
        <xdr:cNvPr id="279" name="PTObj_DNode_1_10"/>
        <xdr:cNvSpPr/>
      </xdr:nvSpPr>
      <xdr:spPr>
        <a:xfrm>
          <a:off x="4610227" y="4004945"/>
          <a:ext cx="190500" cy="190500"/>
        </a:xfrm>
        <a:prstGeom prst="ellipse">
          <a:avLst/>
        </a:prstGeom>
        <a:solidFill>
          <a:srgbClr val="800000"/>
        </a:solidFill>
        <a:ln w="12700">
          <a:solidFill>
            <a:srgbClr val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oneCellAnchor>
    <xdr:from>
      <xdr:col>3</xdr:col>
      <xdr:colOff>280797</xdr:colOff>
      <xdr:row>20</xdr:row>
      <xdr:rowOff>95107</xdr:rowOff>
    </xdr:from>
    <xdr:ext cx="238527" cy="180627"/>
    <xdr:sp macro="_xll.PtreeEvent_ObjectClick" textlink="">
      <xdr:nvSpPr>
        <xdr:cNvPr id="302" name="PTObj_DBranchName_1_10"/>
        <xdr:cNvSpPr txBox="1"/>
      </xdr:nvSpPr>
      <xdr:spPr>
        <a:xfrm>
          <a:off x="3338322" y="4009882"/>
          <a:ext cx="238527" cy="180627"/>
        </a:xfrm>
        <a:prstGeom prst="rect">
          <a:avLst/>
        </a:prstGeom>
        <a:solidFill>
          <a:schemeClr val="lt1"/>
        </a:solidFill>
        <a:ln w="9525" cmpd="sng">
          <a:solidFill>
            <a:srgbClr val="80808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wrap="none" lIns="27432" tIns="27432" rIns="27432" bIns="27432" rtlCol="0" anchor="ctr">
          <a:spAutoFit/>
        </a:bodyPr>
        <a:lstStyle/>
        <a:p>
          <a:pPr algn="ctr"/>
          <a:r>
            <a:rPr lang="en-US" sz="800"/>
            <a:t>Bliss</a:t>
          </a:r>
        </a:p>
      </xdr:txBody>
    </xdr:sp>
    <xdr:clientData/>
  </xdr:oneCellAnchor>
  <xdr:twoCellAnchor editAs="oneCell">
    <xdr:from>
      <xdr:col>5</xdr:col>
      <xdr:colOff>127</xdr:colOff>
      <xdr:row>18</xdr:row>
      <xdr:rowOff>90170</xdr:rowOff>
    </xdr:from>
    <xdr:to>
      <xdr:col>5</xdr:col>
      <xdr:colOff>190627</xdr:colOff>
      <xdr:row>19</xdr:row>
      <xdr:rowOff>90170</xdr:rowOff>
    </xdr:to>
    <xdr:sp macro="_xll.PtreeEvent_ObjectClick" textlink="">
      <xdr:nvSpPr>
        <xdr:cNvPr id="303" name="PTObj_DNode_1_11"/>
        <xdr:cNvSpPr/>
      </xdr:nvSpPr>
      <xdr:spPr>
        <a:xfrm rot="-5400000">
          <a:off x="6143752" y="3623945"/>
          <a:ext cx="190500" cy="190500"/>
        </a:xfrm>
        <a:prstGeom prst="triangle">
          <a:avLst/>
        </a:prstGeom>
        <a:solidFill>
          <a:srgbClr val="000080"/>
        </a:solidFill>
        <a:ln w="12700">
          <a:solidFill>
            <a:srgbClr val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oneCellAnchor>
    <xdr:from>
      <xdr:col>4</xdr:col>
      <xdr:colOff>280797</xdr:colOff>
      <xdr:row>18</xdr:row>
      <xdr:rowOff>95107</xdr:rowOff>
    </xdr:from>
    <xdr:ext cx="342978" cy="180627"/>
    <xdr:sp macro="_xll.PtreeEvent_ObjectClick" textlink="">
      <xdr:nvSpPr>
        <xdr:cNvPr id="326" name="PTObj_DBranchName_1_11"/>
        <xdr:cNvSpPr txBox="1"/>
      </xdr:nvSpPr>
      <xdr:spPr>
        <a:xfrm>
          <a:off x="4890897" y="3628882"/>
          <a:ext cx="342978" cy="180627"/>
        </a:xfrm>
        <a:prstGeom prst="rect">
          <a:avLst/>
        </a:prstGeom>
        <a:solidFill>
          <a:schemeClr val="lt1"/>
        </a:solidFill>
        <a:ln w="9525" cmpd="sng">
          <a:solidFill>
            <a:srgbClr val="80808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wrap="none" lIns="27432" tIns="27432" rIns="27432" bIns="27432" rtlCol="0" anchor="ctr">
          <a:spAutoFit/>
        </a:bodyPr>
        <a:lstStyle/>
        <a:p>
          <a:pPr algn="ctr"/>
          <a:r>
            <a:rPr lang="en-US" sz="800"/>
            <a:t>Stalker</a:t>
          </a:r>
        </a:p>
      </xdr:txBody>
    </xdr:sp>
    <xdr:clientData/>
  </xdr:oneCellAnchor>
  <xdr:twoCellAnchor editAs="oneCell">
    <xdr:from>
      <xdr:col>5</xdr:col>
      <xdr:colOff>127</xdr:colOff>
      <xdr:row>22</xdr:row>
      <xdr:rowOff>90170</xdr:rowOff>
    </xdr:from>
    <xdr:to>
      <xdr:col>5</xdr:col>
      <xdr:colOff>190627</xdr:colOff>
      <xdr:row>23</xdr:row>
      <xdr:rowOff>90170</xdr:rowOff>
    </xdr:to>
    <xdr:sp macro="_xll.PtreeEvent_ObjectClick" textlink="">
      <xdr:nvSpPr>
        <xdr:cNvPr id="327" name="PTObj_DNode_1_12"/>
        <xdr:cNvSpPr/>
      </xdr:nvSpPr>
      <xdr:spPr>
        <a:xfrm rot="-5400000">
          <a:off x="6143752" y="4385945"/>
          <a:ext cx="190500" cy="190500"/>
        </a:xfrm>
        <a:prstGeom prst="triangle">
          <a:avLst/>
        </a:prstGeom>
        <a:solidFill>
          <a:srgbClr val="000080"/>
        </a:solidFill>
        <a:ln w="12700">
          <a:solidFill>
            <a:srgbClr val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oneCellAnchor>
    <xdr:from>
      <xdr:col>4</xdr:col>
      <xdr:colOff>280797</xdr:colOff>
      <xdr:row>22</xdr:row>
      <xdr:rowOff>95107</xdr:rowOff>
    </xdr:from>
    <xdr:ext cx="529376" cy="180627"/>
    <xdr:sp macro="_xll.PtreeEvent_ObjectClick" textlink="">
      <xdr:nvSpPr>
        <xdr:cNvPr id="350" name="PTObj_DBranchName_1_12"/>
        <xdr:cNvSpPr txBox="1"/>
      </xdr:nvSpPr>
      <xdr:spPr>
        <a:xfrm>
          <a:off x="4890897" y="4390882"/>
          <a:ext cx="529376" cy="180627"/>
        </a:xfrm>
        <a:prstGeom prst="rect">
          <a:avLst/>
        </a:prstGeom>
        <a:solidFill>
          <a:schemeClr val="lt1"/>
        </a:solidFill>
        <a:ln w="9525" cmpd="sng">
          <a:solidFill>
            <a:srgbClr val="80808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wrap="none" lIns="27432" tIns="27432" rIns="27432" bIns="27432" rtlCol="0" anchor="ctr">
          <a:spAutoFit/>
        </a:bodyPr>
        <a:lstStyle/>
        <a:p>
          <a:pPr algn="ctr"/>
          <a:r>
            <a:rPr lang="en-US" sz="800"/>
            <a:t>Just friends</a:t>
          </a:r>
        </a:p>
      </xdr:txBody>
    </xdr:sp>
    <xdr:clientData/>
  </xdr:oneCellAnchor>
  <xdr:twoCellAnchor editAs="oneCell">
    <xdr:from>
      <xdr:col>4</xdr:col>
      <xdr:colOff>127</xdr:colOff>
      <xdr:row>28</xdr:row>
      <xdr:rowOff>90170</xdr:rowOff>
    </xdr:from>
    <xdr:to>
      <xdr:col>4</xdr:col>
      <xdr:colOff>190627</xdr:colOff>
      <xdr:row>29</xdr:row>
      <xdr:rowOff>90170</xdr:rowOff>
    </xdr:to>
    <xdr:sp macro="_xll.PtreeEvent_ObjectClick" textlink="">
      <xdr:nvSpPr>
        <xdr:cNvPr id="351" name="PTObj_DNode_1_13"/>
        <xdr:cNvSpPr/>
      </xdr:nvSpPr>
      <xdr:spPr>
        <a:xfrm>
          <a:off x="4610227" y="5528945"/>
          <a:ext cx="190500" cy="190500"/>
        </a:xfrm>
        <a:prstGeom prst="ellipse">
          <a:avLst/>
        </a:prstGeom>
        <a:solidFill>
          <a:srgbClr val="800000"/>
        </a:solidFill>
        <a:ln w="12700">
          <a:solidFill>
            <a:srgbClr val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oneCellAnchor>
    <xdr:from>
      <xdr:col>3</xdr:col>
      <xdr:colOff>280797</xdr:colOff>
      <xdr:row>28</xdr:row>
      <xdr:rowOff>95107</xdr:rowOff>
    </xdr:from>
    <xdr:ext cx="714362" cy="180627"/>
    <xdr:sp macro="_xll.PtreeEvent_ObjectClick" textlink="">
      <xdr:nvSpPr>
        <xdr:cNvPr id="374" name="PTObj_DBranchName_1_13"/>
        <xdr:cNvSpPr txBox="1"/>
      </xdr:nvSpPr>
      <xdr:spPr>
        <a:xfrm>
          <a:off x="3338322" y="5533882"/>
          <a:ext cx="714362" cy="180627"/>
        </a:xfrm>
        <a:prstGeom prst="rect">
          <a:avLst/>
        </a:prstGeom>
        <a:solidFill>
          <a:schemeClr val="lt1"/>
        </a:solidFill>
        <a:ln w="9525" cmpd="sng">
          <a:solidFill>
            <a:srgbClr val="80808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wrap="none" lIns="27432" tIns="27432" rIns="27432" bIns="27432" rtlCol="0" anchor="ctr">
          <a:spAutoFit/>
        </a:bodyPr>
        <a:lstStyle/>
        <a:p>
          <a:pPr algn="ctr"/>
          <a:r>
            <a:rPr lang="en-US" sz="800"/>
            <a:t>Everlasting Pain</a:t>
          </a:r>
        </a:p>
      </xdr:txBody>
    </xdr:sp>
    <xdr:clientData/>
  </xdr:oneCellAnchor>
  <xdr:twoCellAnchor editAs="oneCell">
    <xdr:from>
      <xdr:col>5</xdr:col>
      <xdr:colOff>127</xdr:colOff>
      <xdr:row>26</xdr:row>
      <xdr:rowOff>90170</xdr:rowOff>
    </xdr:from>
    <xdr:to>
      <xdr:col>5</xdr:col>
      <xdr:colOff>190627</xdr:colOff>
      <xdr:row>27</xdr:row>
      <xdr:rowOff>90170</xdr:rowOff>
    </xdr:to>
    <xdr:sp macro="_xll.PtreeEvent_ObjectClick" textlink="">
      <xdr:nvSpPr>
        <xdr:cNvPr id="375" name="PTObj_DNode_1_14"/>
        <xdr:cNvSpPr/>
      </xdr:nvSpPr>
      <xdr:spPr>
        <a:xfrm rot="-5400000">
          <a:off x="6143752" y="5147945"/>
          <a:ext cx="190500" cy="190500"/>
        </a:xfrm>
        <a:prstGeom prst="triangle">
          <a:avLst/>
        </a:prstGeom>
        <a:solidFill>
          <a:srgbClr val="000080"/>
        </a:solidFill>
        <a:ln w="12700">
          <a:solidFill>
            <a:srgbClr val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oneCellAnchor>
    <xdr:from>
      <xdr:col>4</xdr:col>
      <xdr:colOff>280797</xdr:colOff>
      <xdr:row>26</xdr:row>
      <xdr:rowOff>95107</xdr:rowOff>
    </xdr:from>
    <xdr:ext cx="342978" cy="180627"/>
    <xdr:sp macro="_xll.PtreeEvent_ObjectClick" textlink="">
      <xdr:nvSpPr>
        <xdr:cNvPr id="398" name="PTObj_DBranchName_1_14"/>
        <xdr:cNvSpPr txBox="1"/>
      </xdr:nvSpPr>
      <xdr:spPr>
        <a:xfrm>
          <a:off x="4890897" y="5152882"/>
          <a:ext cx="342978" cy="180627"/>
        </a:xfrm>
        <a:prstGeom prst="rect">
          <a:avLst/>
        </a:prstGeom>
        <a:solidFill>
          <a:schemeClr val="lt1"/>
        </a:solidFill>
        <a:ln w="9525" cmpd="sng">
          <a:solidFill>
            <a:srgbClr val="80808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wrap="none" lIns="27432" tIns="27432" rIns="27432" bIns="27432" rtlCol="0" anchor="ctr">
          <a:spAutoFit/>
        </a:bodyPr>
        <a:lstStyle/>
        <a:p>
          <a:pPr algn="ctr"/>
          <a:r>
            <a:rPr lang="en-US" sz="800"/>
            <a:t>Stalker</a:t>
          </a:r>
        </a:p>
      </xdr:txBody>
    </xdr:sp>
    <xdr:clientData/>
  </xdr:oneCellAnchor>
  <xdr:twoCellAnchor editAs="oneCell">
    <xdr:from>
      <xdr:col>5</xdr:col>
      <xdr:colOff>127</xdr:colOff>
      <xdr:row>30</xdr:row>
      <xdr:rowOff>90170</xdr:rowOff>
    </xdr:from>
    <xdr:to>
      <xdr:col>5</xdr:col>
      <xdr:colOff>190627</xdr:colOff>
      <xdr:row>31</xdr:row>
      <xdr:rowOff>90170</xdr:rowOff>
    </xdr:to>
    <xdr:sp macro="_xll.PtreeEvent_ObjectClick" textlink="">
      <xdr:nvSpPr>
        <xdr:cNvPr id="399" name="PTObj_DNode_1_15"/>
        <xdr:cNvSpPr/>
      </xdr:nvSpPr>
      <xdr:spPr>
        <a:xfrm rot="-5400000">
          <a:off x="6143752" y="5909945"/>
          <a:ext cx="190500" cy="190500"/>
        </a:xfrm>
        <a:prstGeom prst="triangle">
          <a:avLst/>
        </a:prstGeom>
        <a:solidFill>
          <a:srgbClr val="000080"/>
        </a:solidFill>
        <a:ln w="12700">
          <a:solidFill>
            <a:srgbClr val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oneCellAnchor>
    <xdr:from>
      <xdr:col>4</xdr:col>
      <xdr:colOff>280797</xdr:colOff>
      <xdr:row>30</xdr:row>
      <xdr:rowOff>95107</xdr:rowOff>
    </xdr:from>
    <xdr:ext cx="529376" cy="180627"/>
    <xdr:sp macro="_xll.PtreeEvent_ObjectClick" textlink="">
      <xdr:nvSpPr>
        <xdr:cNvPr id="422" name="PTObj_DBranchName_1_15"/>
        <xdr:cNvSpPr txBox="1"/>
      </xdr:nvSpPr>
      <xdr:spPr>
        <a:xfrm>
          <a:off x="4890897" y="5914882"/>
          <a:ext cx="529376" cy="180627"/>
        </a:xfrm>
        <a:prstGeom prst="rect">
          <a:avLst/>
        </a:prstGeom>
        <a:solidFill>
          <a:schemeClr val="lt1"/>
        </a:solidFill>
        <a:ln w="9525" cmpd="sng">
          <a:solidFill>
            <a:srgbClr val="80808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wrap="none" lIns="27432" tIns="27432" rIns="27432" bIns="27432" rtlCol="0" anchor="ctr">
          <a:spAutoFit/>
        </a:bodyPr>
        <a:lstStyle/>
        <a:p>
          <a:pPr algn="ctr"/>
          <a:r>
            <a:rPr lang="en-US" sz="800"/>
            <a:t>Just friends</a:t>
          </a:r>
        </a:p>
      </xdr:txBody>
    </xdr:sp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MotorolaMobilityScenarios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microsoft.com/office/2006/relationships/xlExternalLinkPath/xlPathMissing" Target="Book9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microsoft.com/office/2006/relationships/xlExternalLinkPath/xlPathMissing" Target="Book10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Program%20Files%20(x86)\Palisade\PrecisionTree6\Ptree.xla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microsoft.com/office/2006/relationships/xlExternalLinkPath/xlPathMissing" Target="Book3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microsoft.com/office/2006/relationships/xlExternalLinkPath/xlPathMissing" Target="Book4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cenarios"/>
      <sheetName val="MMHistoricalFinancials"/>
    </sheetNames>
    <sheetDataSet>
      <sheetData sheetId="0"/>
      <sheetData sheetId="1">
        <row r="3">
          <cell r="B3">
            <v>11460</v>
          </cell>
        </row>
        <row r="4">
          <cell r="B4">
            <v>8495</v>
          </cell>
        </row>
        <row r="7">
          <cell r="B7">
            <v>1592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ensitivity E5, F3"/>
      <sheetName val="Strategy Region E5, F3"/>
    </sheetNames>
    <sheetDataSet>
      <sheetData sheetId="0">
        <row r="42">
          <cell r="D42">
            <v>0.1</v>
          </cell>
          <cell r="E42">
            <v>0.2</v>
          </cell>
          <cell r="F42">
            <v>0.30000000000000004</v>
          </cell>
          <cell r="G42">
            <v>0.4</v>
          </cell>
          <cell r="H42">
            <v>0.5</v>
          </cell>
          <cell r="I42">
            <v>0.60000000000000009</v>
          </cell>
          <cell r="J42">
            <v>0.70000000000000007</v>
          </cell>
        </row>
        <row r="43">
          <cell r="C43">
            <v>0.12499999999999999</v>
          </cell>
          <cell r="D43">
            <v>62.991230088286088</v>
          </cell>
          <cell r="E43">
            <v>61.972247723601868</v>
          </cell>
          <cell r="F43">
            <v>60.953265358917648</v>
          </cell>
          <cell r="G43">
            <v>59.934282994233435</v>
          </cell>
          <cell r="H43">
            <v>58.915300629549215</v>
          </cell>
          <cell r="I43">
            <v>57.896318264864995</v>
          </cell>
          <cell r="J43">
            <v>56.877335900180782</v>
          </cell>
        </row>
        <row r="44">
          <cell r="C44">
            <v>0.25</v>
          </cell>
          <cell r="D44">
            <v>63.324203188193643</v>
          </cell>
          <cell r="E44">
            <v>62.638193923416992</v>
          </cell>
          <cell r="F44">
            <v>61.952184658640334</v>
          </cell>
          <cell r="G44">
            <v>61.266175393863669</v>
          </cell>
          <cell r="H44">
            <v>60.580166129087019</v>
          </cell>
          <cell r="I44">
            <v>59.894156864310368</v>
          </cell>
          <cell r="J44">
            <v>59.20814759953371</v>
          </cell>
        </row>
        <row r="45">
          <cell r="C45">
            <v>0.375</v>
          </cell>
          <cell r="D45">
            <v>63.657176288101205</v>
          </cell>
          <cell r="E45">
            <v>63.304140123232109</v>
          </cell>
          <cell r="F45">
            <v>62.951103958363014</v>
          </cell>
          <cell r="G45">
            <v>62.598067793493918</v>
          </cell>
          <cell r="H45">
            <v>62.245031628624822</v>
          </cell>
          <cell r="I45">
            <v>61.891995463755727</v>
          </cell>
          <cell r="J45">
            <v>61.538959298886631</v>
          </cell>
        </row>
        <row r="46">
          <cell r="C46">
            <v>0.5</v>
          </cell>
          <cell r="D46">
            <v>63.990149388008767</v>
          </cell>
          <cell r="E46">
            <v>63.970086323047234</v>
          </cell>
          <cell r="F46">
            <v>63.9500232580857</v>
          </cell>
          <cell r="G46">
            <v>63.929960193124167</v>
          </cell>
          <cell r="H46">
            <v>63.909897128162619</v>
          </cell>
          <cell r="I46">
            <v>63.889834063201086</v>
          </cell>
          <cell r="J46">
            <v>63.869770998239552</v>
          </cell>
        </row>
        <row r="47">
          <cell r="C47">
            <v>0.625</v>
          </cell>
          <cell r="D47">
            <v>64.323122487916322</v>
          </cell>
          <cell r="E47">
            <v>64.636032522862351</v>
          </cell>
          <cell r="F47">
            <v>64.94894255780838</v>
          </cell>
          <cell r="G47">
            <v>65.261852592754394</v>
          </cell>
          <cell r="H47">
            <v>65.574762627700437</v>
          </cell>
          <cell r="I47">
            <v>65.887672662646466</v>
          </cell>
          <cell r="J47">
            <v>66.20058269759248</v>
          </cell>
        </row>
        <row r="48">
          <cell r="C48">
            <v>0.75</v>
          </cell>
          <cell r="D48">
            <v>64.656095587823884</v>
          </cell>
          <cell r="E48">
            <v>65.301978722677475</v>
          </cell>
          <cell r="F48">
            <v>65.947861857531066</v>
          </cell>
          <cell r="G48">
            <v>66.593744992384643</v>
          </cell>
          <cell r="H48">
            <v>67.239628127238234</v>
          </cell>
          <cell r="I48">
            <v>67.885511262091811</v>
          </cell>
          <cell r="J48">
            <v>68.531394396945402</v>
          </cell>
        </row>
        <row r="49">
          <cell r="C49">
            <v>0.875</v>
          </cell>
          <cell r="D49">
            <v>64.989068687731447</v>
          </cell>
          <cell r="E49">
            <v>65.9679249224926</v>
          </cell>
          <cell r="F49">
            <v>66.946781157253739</v>
          </cell>
          <cell r="G49">
            <v>67.925637392014877</v>
          </cell>
          <cell r="H49">
            <v>68.904493626776031</v>
          </cell>
          <cell r="I49">
            <v>69.883349861537184</v>
          </cell>
          <cell r="J49">
            <v>70.862206096298323</v>
          </cell>
        </row>
      </sheetData>
      <sheetData sheetId="1">
        <row r="42">
          <cell r="B42">
            <v>0.1</v>
          </cell>
          <cell r="C42">
            <v>0.12499999999999999</v>
          </cell>
        </row>
        <row r="43">
          <cell r="B43">
            <v>0.1</v>
          </cell>
          <cell r="C43">
            <v>0.25</v>
          </cell>
        </row>
        <row r="44">
          <cell r="B44">
            <v>0.1</v>
          </cell>
          <cell r="C44">
            <v>0.375</v>
          </cell>
        </row>
        <row r="45">
          <cell r="B45">
            <v>0.1</v>
          </cell>
          <cell r="C45">
            <v>0.5</v>
          </cell>
        </row>
        <row r="46">
          <cell r="B46">
            <v>0.1</v>
          </cell>
          <cell r="C46">
            <v>0.625</v>
          </cell>
        </row>
        <row r="47">
          <cell r="B47">
            <v>0.1</v>
          </cell>
          <cell r="C47">
            <v>0.75</v>
          </cell>
        </row>
        <row r="48">
          <cell r="B48">
            <v>0.1</v>
          </cell>
          <cell r="C48">
            <v>0.875</v>
          </cell>
        </row>
        <row r="49">
          <cell r="B49">
            <v>0.2</v>
          </cell>
          <cell r="C49">
            <v>0.12499999999999999</v>
          </cell>
        </row>
        <row r="50">
          <cell r="B50">
            <v>0.2</v>
          </cell>
          <cell r="C50">
            <v>0.25</v>
          </cell>
        </row>
        <row r="51">
          <cell r="B51">
            <v>0.2</v>
          </cell>
          <cell r="C51">
            <v>0.375</v>
          </cell>
        </row>
        <row r="52">
          <cell r="B52">
            <v>0.2</v>
          </cell>
          <cell r="C52">
            <v>0.5</v>
          </cell>
        </row>
        <row r="53">
          <cell r="B53">
            <v>0.2</v>
          </cell>
          <cell r="C53">
            <v>0.625</v>
          </cell>
        </row>
        <row r="54">
          <cell r="B54">
            <v>0.2</v>
          </cell>
          <cell r="C54">
            <v>0.75</v>
          </cell>
        </row>
        <row r="55">
          <cell r="B55">
            <v>0.2</v>
          </cell>
          <cell r="C55">
            <v>0.875</v>
          </cell>
        </row>
        <row r="56">
          <cell r="B56">
            <v>0.30000000000000004</v>
          </cell>
          <cell r="C56">
            <v>0.12499999999999999</v>
          </cell>
        </row>
        <row r="57">
          <cell r="B57">
            <v>0.30000000000000004</v>
          </cell>
          <cell r="C57">
            <v>0.25</v>
          </cell>
        </row>
        <row r="58">
          <cell r="B58">
            <v>0.30000000000000004</v>
          </cell>
          <cell r="C58">
            <v>0.375</v>
          </cell>
        </row>
        <row r="59">
          <cell r="B59">
            <v>0.30000000000000004</v>
          </cell>
          <cell r="C59">
            <v>0.5</v>
          </cell>
        </row>
        <row r="60">
          <cell r="B60">
            <v>0.30000000000000004</v>
          </cell>
          <cell r="C60">
            <v>0.625</v>
          </cell>
        </row>
        <row r="61">
          <cell r="B61">
            <v>0.30000000000000004</v>
          </cell>
          <cell r="C61">
            <v>0.75</v>
          </cell>
        </row>
        <row r="62">
          <cell r="B62">
            <v>0.30000000000000004</v>
          </cell>
          <cell r="C62">
            <v>0.875</v>
          </cell>
        </row>
        <row r="63">
          <cell r="B63">
            <v>0.4</v>
          </cell>
          <cell r="C63">
            <v>0.12499999999999999</v>
          </cell>
        </row>
        <row r="64">
          <cell r="B64">
            <v>0.4</v>
          </cell>
          <cell r="C64">
            <v>0.25</v>
          </cell>
        </row>
        <row r="65">
          <cell r="B65">
            <v>0.4</v>
          </cell>
          <cell r="C65">
            <v>0.375</v>
          </cell>
        </row>
        <row r="66">
          <cell r="B66">
            <v>0.4</v>
          </cell>
          <cell r="C66">
            <v>0.5</v>
          </cell>
        </row>
        <row r="67">
          <cell r="B67">
            <v>0.4</v>
          </cell>
          <cell r="C67">
            <v>0.625</v>
          </cell>
        </row>
        <row r="68">
          <cell r="B68">
            <v>0.4</v>
          </cell>
          <cell r="C68">
            <v>0.75</v>
          </cell>
        </row>
        <row r="69">
          <cell r="B69">
            <v>0.4</v>
          </cell>
          <cell r="C69">
            <v>0.875</v>
          </cell>
        </row>
        <row r="70">
          <cell r="B70">
            <v>0.5</v>
          </cell>
          <cell r="C70">
            <v>0.12499999999999999</v>
          </cell>
        </row>
        <row r="71">
          <cell r="B71">
            <v>0.5</v>
          </cell>
          <cell r="C71">
            <v>0.25</v>
          </cell>
        </row>
        <row r="72">
          <cell r="B72">
            <v>0.5</v>
          </cell>
          <cell r="C72">
            <v>0.375</v>
          </cell>
        </row>
        <row r="73">
          <cell r="B73">
            <v>0.5</v>
          </cell>
          <cell r="C73">
            <v>0.5</v>
          </cell>
        </row>
        <row r="74">
          <cell r="B74">
            <v>0.5</v>
          </cell>
          <cell r="C74">
            <v>0.625</v>
          </cell>
        </row>
        <row r="75">
          <cell r="B75">
            <v>0.5</v>
          </cell>
          <cell r="C75">
            <v>0.75</v>
          </cell>
        </row>
        <row r="76">
          <cell r="B76">
            <v>0.5</v>
          </cell>
          <cell r="C76">
            <v>0.875</v>
          </cell>
        </row>
        <row r="77">
          <cell r="B77">
            <v>0.60000000000000009</v>
          </cell>
          <cell r="C77">
            <v>0.12499999999999999</v>
          </cell>
        </row>
        <row r="78">
          <cell r="B78">
            <v>0.60000000000000009</v>
          </cell>
          <cell r="C78">
            <v>0.25</v>
          </cell>
        </row>
        <row r="79">
          <cell r="B79">
            <v>0.60000000000000009</v>
          </cell>
          <cell r="C79">
            <v>0.375</v>
          </cell>
        </row>
        <row r="80">
          <cell r="B80">
            <v>0.60000000000000009</v>
          </cell>
          <cell r="C80">
            <v>0.5</v>
          </cell>
        </row>
        <row r="81">
          <cell r="B81">
            <v>0.60000000000000009</v>
          </cell>
          <cell r="C81">
            <v>0.625</v>
          </cell>
        </row>
        <row r="82">
          <cell r="B82">
            <v>0.60000000000000009</v>
          </cell>
          <cell r="C82">
            <v>0.75</v>
          </cell>
        </row>
        <row r="83">
          <cell r="B83">
            <v>0.60000000000000009</v>
          </cell>
          <cell r="C83">
            <v>0.875</v>
          </cell>
        </row>
        <row r="84">
          <cell r="B84">
            <v>0.70000000000000007</v>
          </cell>
          <cell r="C84">
            <v>0.12499999999999999</v>
          </cell>
        </row>
        <row r="85">
          <cell r="B85">
            <v>0.70000000000000007</v>
          </cell>
          <cell r="C85">
            <v>0.25</v>
          </cell>
        </row>
        <row r="86">
          <cell r="B86">
            <v>0.70000000000000007</v>
          </cell>
          <cell r="C86">
            <v>0.375</v>
          </cell>
        </row>
        <row r="87">
          <cell r="B87">
            <v>0.70000000000000007</v>
          </cell>
          <cell r="C87">
            <v>0.5</v>
          </cell>
        </row>
        <row r="88">
          <cell r="B88">
            <v>0.70000000000000007</v>
          </cell>
          <cell r="C88">
            <v>0.625</v>
          </cell>
        </row>
        <row r="89">
          <cell r="B89">
            <v>0.70000000000000007</v>
          </cell>
          <cell r="C89">
            <v>0.75</v>
          </cell>
        </row>
        <row r="90">
          <cell r="B90">
            <v>0.70000000000000007</v>
          </cell>
          <cell r="C90">
            <v>0.875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ensitivity D9"/>
      <sheetName val="Sensitivity F3"/>
      <sheetName val="Sensitivity E5"/>
      <sheetName val="Strategy D9"/>
      <sheetName val="Strategy F3"/>
      <sheetName val="Strategy E5"/>
      <sheetName val="Tornado"/>
      <sheetName val="Spider"/>
    </sheetNames>
    <sheetDataSet>
      <sheetData sheetId="0" refreshError="1"/>
      <sheetData sheetId="1" refreshError="1"/>
      <sheetData sheetId="2" refreshError="1"/>
      <sheetData sheetId="3">
        <row r="32">
          <cell r="C32">
            <v>0.3</v>
          </cell>
          <cell r="E32">
            <v>44.774989782759128</v>
          </cell>
          <cell r="G32">
            <v>37.546831360712005</v>
          </cell>
        </row>
        <row r="33">
          <cell r="C33">
            <v>0.4</v>
          </cell>
          <cell r="E33">
            <v>51.159979919547474</v>
          </cell>
          <cell r="G33">
            <v>37.546831360712005</v>
          </cell>
        </row>
        <row r="34">
          <cell r="C34">
            <v>0.5</v>
          </cell>
          <cell r="E34">
            <v>57.544970056335821</v>
          </cell>
          <cell r="G34">
            <v>37.546831360712005</v>
          </cell>
        </row>
        <row r="35">
          <cell r="C35">
            <v>0.6</v>
          </cell>
          <cell r="E35">
            <v>63.929960193124167</v>
          </cell>
          <cell r="G35">
            <v>37.546831360712005</v>
          </cell>
        </row>
        <row r="36">
          <cell r="C36">
            <v>0.7</v>
          </cell>
          <cell r="E36">
            <v>70.314950329912506</v>
          </cell>
          <cell r="G36">
            <v>37.546831360712005</v>
          </cell>
        </row>
        <row r="37">
          <cell r="C37">
            <v>0.8</v>
          </cell>
          <cell r="E37">
            <v>76.699940466700852</v>
          </cell>
          <cell r="G37">
            <v>37.546831360712005</v>
          </cell>
        </row>
        <row r="38">
          <cell r="C38">
            <v>0.9</v>
          </cell>
          <cell r="E38">
            <v>83.084930603489198</v>
          </cell>
          <cell r="G38">
            <v>37.546831360712005</v>
          </cell>
        </row>
      </sheetData>
      <sheetData sheetId="4">
        <row r="32">
          <cell r="C32">
            <v>0.12499999999999999</v>
          </cell>
          <cell r="E32">
            <v>59.934282994233435</v>
          </cell>
          <cell r="G32">
            <v>37.546831360712005</v>
          </cell>
        </row>
        <row r="33">
          <cell r="C33">
            <v>0.25</v>
          </cell>
          <cell r="E33">
            <v>61.266175393863669</v>
          </cell>
          <cell r="G33">
            <v>37.546831360712005</v>
          </cell>
        </row>
        <row r="34">
          <cell r="C34">
            <v>0.375</v>
          </cell>
          <cell r="E34">
            <v>62.598067793493918</v>
          </cell>
          <cell r="G34">
            <v>37.546831360712005</v>
          </cell>
        </row>
        <row r="35">
          <cell r="C35">
            <v>0.5</v>
          </cell>
          <cell r="E35">
            <v>63.929960193124167</v>
          </cell>
          <cell r="G35">
            <v>37.546831360712005</v>
          </cell>
        </row>
        <row r="36">
          <cell r="C36">
            <v>0.625</v>
          </cell>
          <cell r="E36">
            <v>65.261852592754394</v>
          </cell>
          <cell r="G36">
            <v>37.546831360712005</v>
          </cell>
        </row>
        <row r="37">
          <cell r="C37">
            <v>0.75</v>
          </cell>
          <cell r="E37">
            <v>66.593744992384643</v>
          </cell>
          <cell r="G37">
            <v>37.546831360712005</v>
          </cell>
        </row>
        <row r="38">
          <cell r="C38">
            <v>0.875</v>
          </cell>
          <cell r="E38">
            <v>67.925637392014877</v>
          </cell>
          <cell r="G38">
            <v>37.546831360712005</v>
          </cell>
        </row>
      </sheetData>
      <sheetData sheetId="5">
        <row r="32">
          <cell r="C32">
            <v>0.1</v>
          </cell>
          <cell r="E32">
            <v>63.990149388008767</v>
          </cell>
          <cell r="G32">
            <v>37.546831360712005</v>
          </cell>
        </row>
        <row r="33">
          <cell r="C33">
            <v>0.2</v>
          </cell>
          <cell r="E33">
            <v>63.970086323047234</v>
          </cell>
          <cell r="G33">
            <v>37.546831360712005</v>
          </cell>
        </row>
        <row r="34">
          <cell r="C34">
            <v>0.30000000000000004</v>
          </cell>
          <cell r="E34">
            <v>63.9500232580857</v>
          </cell>
          <cell r="G34">
            <v>37.546831360712005</v>
          </cell>
        </row>
        <row r="35">
          <cell r="C35">
            <v>0.4</v>
          </cell>
          <cell r="E35">
            <v>63.929960193124167</v>
          </cell>
          <cell r="G35">
            <v>37.546831360712005</v>
          </cell>
        </row>
        <row r="36">
          <cell r="C36">
            <v>0.5</v>
          </cell>
          <cell r="E36">
            <v>63.909897128162619</v>
          </cell>
          <cell r="G36">
            <v>37.546831360712005</v>
          </cell>
        </row>
        <row r="37">
          <cell r="C37">
            <v>0.60000000000000009</v>
          </cell>
          <cell r="E37">
            <v>63.889834063201086</v>
          </cell>
          <cell r="G37">
            <v>37.546831360712005</v>
          </cell>
        </row>
        <row r="38">
          <cell r="C38">
            <v>0.70000000000000007</v>
          </cell>
          <cell r="E38">
            <v>63.869770998239552</v>
          </cell>
          <cell r="G38">
            <v>37.546831360712005</v>
          </cell>
        </row>
      </sheetData>
      <sheetData sheetId="6">
        <row r="33">
          <cell r="C33" t="str">
            <v>Branch Probability 'Apple Truce' of Node 'Patents Effective?' (D9)</v>
          </cell>
        </row>
        <row r="34">
          <cell r="C34" t="str">
            <v>Branch Probability 'Partners Stay' of Node 'Google Partners?' (F3)</v>
          </cell>
        </row>
        <row r="35">
          <cell r="C35" t="str">
            <v>Branch Probability 'Value Created' of Node 'Synergy Realized?' (E5)</v>
          </cell>
        </row>
      </sheetData>
      <sheetData sheetId="7">
        <row r="32">
          <cell r="G32">
            <v>-0.5</v>
          </cell>
          <cell r="H32">
            <v>44.774989782759128</v>
          </cell>
        </row>
        <row r="33">
          <cell r="G33">
            <v>-0.33333333333333326</v>
          </cell>
          <cell r="H33">
            <v>51.159979919547474</v>
          </cell>
        </row>
        <row r="34">
          <cell r="G34">
            <v>-0.16666666666666663</v>
          </cell>
          <cell r="H34">
            <v>57.544970056335821</v>
          </cell>
        </row>
        <row r="35">
          <cell r="G35">
            <v>0</v>
          </cell>
          <cell r="H35">
            <v>63.929960193124167</v>
          </cell>
        </row>
        <row r="36">
          <cell r="G36">
            <v>0.16666666666666663</v>
          </cell>
          <cell r="H36">
            <v>70.314950329912506</v>
          </cell>
        </row>
        <row r="37">
          <cell r="G37">
            <v>0.33333333333333348</v>
          </cell>
          <cell r="H37">
            <v>76.699940466700852</v>
          </cell>
        </row>
        <row r="38">
          <cell r="G38">
            <v>0.50000000000000011</v>
          </cell>
          <cell r="H38">
            <v>83.084930603489198</v>
          </cell>
        </row>
        <row r="39">
          <cell r="G39">
            <v>-0.75</v>
          </cell>
          <cell r="H39">
            <v>59.934282994233435</v>
          </cell>
        </row>
        <row r="40">
          <cell r="G40">
            <v>-0.5</v>
          </cell>
          <cell r="H40">
            <v>61.266175393863669</v>
          </cell>
        </row>
        <row r="41">
          <cell r="G41">
            <v>-0.25</v>
          </cell>
          <cell r="H41">
            <v>62.598067793493918</v>
          </cell>
        </row>
        <row r="42">
          <cell r="G42">
            <v>0</v>
          </cell>
          <cell r="H42">
            <v>63.929960193124167</v>
          </cell>
        </row>
        <row r="43">
          <cell r="G43">
            <v>0.25</v>
          </cell>
          <cell r="H43">
            <v>65.261852592754394</v>
          </cell>
        </row>
        <row r="44">
          <cell r="G44">
            <v>0.5</v>
          </cell>
          <cell r="H44">
            <v>66.593744992384643</v>
          </cell>
        </row>
        <row r="45">
          <cell r="G45">
            <v>0.75</v>
          </cell>
          <cell r="H45">
            <v>67.925637392014877</v>
          </cell>
        </row>
        <row r="46">
          <cell r="G46">
            <v>-0.75</v>
          </cell>
          <cell r="H46">
            <v>63.990149388008767</v>
          </cell>
        </row>
        <row r="47">
          <cell r="G47">
            <v>-0.5</v>
          </cell>
          <cell r="H47">
            <v>63.970086323047234</v>
          </cell>
        </row>
        <row r="48">
          <cell r="G48">
            <v>-0.24999999999999994</v>
          </cell>
          <cell r="H48">
            <v>63.9500232580857</v>
          </cell>
        </row>
        <row r="49">
          <cell r="G49">
            <v>0</v>
          </cell>
          <cell r="H49">
            <v>63.929960193124167</v>
          </cell>
        </row>
        <row r="50">
          <cell r="G50">
            <v>0.24999999999999994</v>
          </cell>
          <cell r="H50">
            <v>63.909897128162619</v>
          </cell>
        </row>
        <row r="51">
          <cell r="G51">
            <v>0.50000000000000011</v>
          </cell>
          <cell r="H51">
            <v>63.889834063201086</v>
          </cell>
        </row>
        <row r="52">
          <cell r="G52">
            <v>0.75000000000000011</v>
          </cell>
          <cell r="H52">
            <v>63.869770998239552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_PTreeMain"/>
    </sheetNames>
    <definedNames>
      <definedName name="PtreeEvent_WatermarkClick"/>
    </definedNames>
    <sheetDataSet>
      <sheetData sheetId="0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ensitivity L19, L18"/>
      <sheetName val="Strategy Region L19, L18"/>
    </sheetNames>
    <sheetDataSet>
      <sheetData sheetId="0">
        <row r="42">
          <cell r="D42">
            <v>0.3</v>
          </cell>
          <cell r="E42">
            <v>0.32</v>
          </cell>
          <cell r="F42">
            <v>0.33999999999999997</v>
          </cell>
          <cell r="G42">
            <v>0.36</v>
          </cell>
          <cell r="H42">
            <v>0.38</v>
          </cell>
          <cell r="I42">
            <v>0.4</v>
          </cell>
          <cell r="J42">
            <v>0.42</v>
          </cell>
          <cell r="K42">
            <v>0.44</v>
          </cell>
          <cell r="L42">
            <v>0.46</v>
          </cell>
          <cell r="M42">
            <v>0.48</v>
          </cell>
          <cell r="N42">
            <v>0.5</v>
          </cell>
        </row>
        <row r="43">
          <cell r="C43">
            <v>0.44999999999999996</v>
          </cell>
          <cell r="D43">
            <v>-0.21259261467146759</v>
          </cell>
          <cell r="E43">
            <v>-0.21259261467146759</v>
          </cell>
          <cell r="F43">
            <v>-0.21259261467146759</v>
          </cell>
          <cell r="G43">
            <v>-0.21259261467146759</v>
          </cell>
          <cell r="H43">
            <v>-0.21259261467146759</v>
          </cell>
          <cell r="I43">
            <v>-0.21259261467146759</v>
          </cell>
          <cell r="J43">
            <v>-0.21259261467146759</v>
          </cell>
          <cell r="K43">
            <v>-0.21259261467146759</v>
          </cell>
          <cell r="L43">
            <v>-0.21259261467146759</v>
          </cell>
          <cell r="M43">
            <v>-0.21259261467146759</v>
          </cell>
          <cell r="N43">
            <v>-0.21259261467146759</v>
          </cell>
        </row>
        <row r="44">
          <cell r="C44">
            <v>0.48</v>
          </cell>
          <cell r="D44">
            <v>-0.21259261467146759</v>
          </cell>
          <cell r="E44">
            <v>-0.21259261467146759</v>
          </cell>
          <cell r="F44">
            <v>-0.21259261467146759</v>
          </cell>
          <cell r="G44">
            <v>-0.21259261467146759</v>
          </cell>
          <cell r="H44">
            <v>-0.21259261467146759</v>
          </cell>
          <cell r="I44">
            <v>-0.21259261467146759</v>
          </cell>
          <cell r="J44">
            <v>-0.21259261467146759</v>
          </cell>
          <cell r="K44">
            <v>-0.21259261467146759</v>
          </cell>
          <cell r="L44">
            <v>-0.21259261467146759</v>
          </cell>
          <cell r="M44">
            <v>-0.11375360070627194</v>
          </cell>
          <cell r="N44">
            <v>0.1264095516774161</v>
          </cell>
        </row>
        <row r="45">
          <cell r="C45">
            <v>0.51</v>
          </cell>
          <cell r="D45">
            <v>-0.21259261467146759</v>
          </cell>
          <cell r="E45">
            <v>-0.21259261467146759</v>
          </cell>
          <cell r="F45">
            <v>-0.21259261467146759</v>
          </cell>
          <cell r="G45">
            <v>-0.21259261467146759</v>
          </cell>
          <cell r="H45">
            <v>-0.21259261467146759</v>
          </cell>
          <cell r="I45">
            <v>-0.21259261467146759</v>
          </cell>
          <cell r="J45">
            <v>-0.21259261467146759</v>
          </cell>
          <cell r="K45">
            <v>-4.9172861148785572E-2</v>
          </cell>
          <cell r="L45">
            <v>0.2060004882588839</v>
          </cell>
          <cell r="M45">
            <v>0.46117383766655334</v>
          </cell>
          <cell r="N45">
            <v>0.71634718707422185</v>
          </cell>
        </row>
        <row r="46">
          <cell r="C46">
            <v>0.53999999999999992</v>
          </cell>
          <cell r="D46">
            <v>-0.21259261467146759</v>
          </cell>
          <cell r="E46">
            <v>-0.21259261467146759</v>
          </cell>
          <cell r="F46">
            <v>-0.21259261467146759</v>
          </cell>
          <cell r="G46">
            <v>-0.21259261467146759</v>
          </cell>
          <cell r="H46">
            <v>-0.21259261467146759</v>
          </cell>
          <cell r="I46">
            <v>-4.4632909687221944E-2</v>
          </cell>
          <cell r="J46">
            <v>0.22555063674442657</v>
          </cell>
          <cell r="K46">
            <v>0.49573418317607654</v>
          </cell>
          <cell r="L46">
            <v>0.76591772960772653</v>
          </cell>
          <cell r="M46">
            <v>1.0361012760393764</v>
          </cell>
          <cell r="N46">
            <v>1.3062848224710255</v>
          </cell>
        </row>
        <row r="47">
          <cell r="C47">
            <v>0.56999999999999995</v>
          </cell>
          <cell r="D47">
            <v>-0.21259261467146759</v>
          </cell>
          <cell r="E47">
            <v>-0.21259261467146759</v>
          </cell>
          <cell r="F47">
            <v>-0.21259261467146759</v>
          </cell>
          <cell r="G47">
            <v>-0.10013374632157994</v>
          </cell>
          <cell r="H47">
            <v>0.18505999713405061</v>
          </cell>
          <cell r="I47">
            <v>0.47025374058968111</v>
          </cell>
          <cell r="J47">
            <v>0.75544748404531015</v>
          </cell>
          <cell r="K47">
            <v>1.0406412275009407</v>
          </cell>
          <cell r="L47">
            <v>1.3258349709565713</v>
          </cell>
          <cell r="M47">
            <v>1.6110287144122017</v>
          </cell>
          <cell r="N47">
            <v>1.8962224578678313</v>
          </cell>
        </row>
        <row r="48">
          <cell r="C48">
            <v>0.6</v>
          </cell>
          <cell r="D48">
            <v>-0.21259261467146759</v>
          </cell>
          <cell r="E48">
            <v>-0.21259261467146759</v>
          </cell>
          <cell r="F48">
            <v>8.4528569427750902E-2</v>
          </cell>
          <cell r="G48">
            <v>0.38473250990736202</v>
          </cell>
          <cell r="H48">
            <v>0.68493645038697315</v>
          </cell>
          <cell r="I48">
            <v>0.98514039086658423</v>
          </cell>
          <cell r="J48">
            <v>1.2853443313461936</v>
          </cell>
          <cell r="K48">
            <v>1.5855482718258049</v>
          </cell>
          <cell r="L48">
            <v>1.885752212305416</v>
          </cell>
          <cell r="M48">
            <v>2.1859561527850269</v>
          </cell>
          <cell r="N48">
            <v>2.4861600932646373</v>
          </cell>
        </row>
        <row r="49">
          <cell r="C49">
            <v>0.63</v>
          </cell>
          <cell r="D49">
            <v>-7.6043646374469961E-2</v>
          </cell>
          <cell r="E49">
            <v>0.2391704911291217</v>
          </cell>
          <cell r="F49">
            <v>0.55438462863271232</v>
          </cell>
          <cell r="G49">
            <v>0.86959876613630394</v>
          </cell>
          <cell r="H49">
            <v>1.1848129036398956</v>
          </cell>
          <cell r="I49">
            <v>1.5000270411434873</v>
          </cell>
          <cell r="J49">
            <v>1.8152411786470772</v>
          </cell>
          <cell r="K49">
            <v>2.1304553161506692</v>
          </cell>
          <cell r="L49">
            <v>2.4456694536542605</v>
          </cell>
          <cell r="M49">
            <v>2.7608835911578522</v>
          </cell>
          <cell r="N49">
            <v>3.076097728661443</v>
          </cell>
        </row>
        <row r="50">
          <cell r="C50">
            <v>0.66</v>
          </cell>
          <cell r="D50">
            <v>0.36379201878253031</v>
          </cell>
          <cell r="E50">
            <v>0.69401635331010259</v>
          </cell>
          <cell r="F50">
            <v>1.0242406878376737</v>
          </cell>
          <cell r="G50">
            <v>1.3544650223652459</v>
          </cell>
          <cell r="H50">
            <v>1.6846893568928181</v>
          </cell>
          <cell r="I50">
            <v>2.0149136914203902</v>
          </cell>
          <cell r="J50">
            <v>2.3451380259479611</v>
          </cell>
          <cell r="K50">
            <v>2.6753623604755332</v>
          </cell>
          <cell r="L50">
            <v>3.0055866950031054</v>
          </cell>
          <cell r="M50">
            <v>3.3358110295306775</v>
          </cell>
          <cell r="N50">
            <v>3.6660353640582488</v>
          </cell>
        </row>
        <row r="51">
          <cell r="C51">
            <v>0.69</v>
          </cell>
          <cell r="D51">
            <v>0.80362768393952899</v>
          </cell>
          <cell r="E51">
            <v>1.1488622154910817</v>
          </cell>
          <cell r="F51">
            <v>1.4940967470426332</v>
          </cell>
          <cell r="G51">
            <v>1.839331278594186</v>
          </cell>
          <cell r="H51">
            <v>2.184565810145739</v>
          </cell>
          <cell r="I51">
            <v>2.5298003416972916</v>
          </cell>
          <cell r="J51">
            <v>2.8750348732488424</v>
          </cell>
          <cell r="K51">
            <v>3.2202694048003955</v>
          </cell>
          <cell r="L51">
            <v>3.5655039363519481</v>
          </cell>
          <cell r="M51">
            <v>3.9107384679035007</v>
          </cell>
          <cell r="N51">
            <v>4.2559729994550519</v>
          </cell>
        </row>
        <row r="52">
          <cell r="C52">
            <v>0.72</v>
          </cell>
          <cell r="D52">
            <v>1.2434633490965292</v>
          </cell>
          <cell r="E52">
            <v>1.6037080776720627</v>
          </cell>
          <cell r="F52">
            <v>1.9639528062475946</v>
          </cell>
          <cell r="G52">
            <v>2.3241975348231279</v>
          </cell>
          <cell r="H52">
            <v>2.6844422633986613</v>
          </cell>
          <cell r="I52">
            <v>3.0446869919741948</v>
          </cell>
          <cell r="J52">
            <v>3.404931720549726</v>
          </cell>
          <cell r="K52">
            <v>3.7651764491252595</v>
          </cell>
          <cell r="L52">
            <v>4.125421177700793</v>
          </cell>
          <cell r="M52">
            <v>4.485665906276326</v>
          </cell>
          <cell r="N52">
            <v>4.8459106348518581</v>
          </cell>
        </row>
        <row r="53">
          <cell r="C53">
            <v>0.75</v>
          </cell>
          <cell r="D53">
            <v>1.6832990142535296</v>
          </cell>
          <cell r="E53">
            <v>2.0585539398530432</v>
          </cell>
          <cell r="F53">
            <v>2.4338088654525558</v>
          </cell>
          <cell r="G53">
            <v>2.8090637910520702</v>
          </cell>
          <cell r="H53">
            <v>3.1843187166515836</v>
          </cell>
          <cell r="I53">
            <v>3.559573642251098</v>
          </cell>
          <cell r="J53">
            <v>3.9348285678506096</v>
          </cell>
          <cell r="K53">
            <v>4.310083493450124</v>
          </cell>
          <cell r="L53">
            <v>4.6853384190496374</v>
          </cell>
          <cell r="M53">
            <v>5.0605933446491509</v>
          </cell>
          <cell r="N53">
            <v>5.4358482702486643</v>
          </cell>
        </row>
      </sheetData>
      <sheetData sheetId="1">
        <row r="42">
          <cell r="B42">
            <v>0.3</v>
          </cell>
          <cell r="C42">
            <v>0.63</v>
          </cell>
          <cell r="D42">
            <v>0.3</v>
          </cell>
          <cell r="E42">
            <v>0.44999999999999996</v>
          </cell>
        </row>
        <row r="43">
          <cell r="B43">
            <v>0.3</v>
          </cell>
          <cell r="C43">
            <v>0.66</v>
          </cell>
          <cell r="D43">
            <v>0.3</v>
          </cell>
          <cell r="E43">
            <v>0.48</v>
          </cell>
        </row>
        <row r="44">
          <cell r="B44">
            <v>0.3</v>
          </cell>
          <cell r="C44">
            <v>0.69</v>
          </cell>
          <cell r="D44">
            <v>0.3</v>
          </cell>
          <cell r="E44">
            <v>0.51</v>
          </cell>
        </row>
        <row r="45">
          <cell r="B45">
            <v>0.3</v>
          </cell>
          <cell r="C45">
            <v>0.72</v>
          </cell>
          <cell r="D45">
            <v>0.3</v>
          </cell>
          <cell r="E45">
            <v>0.53999999999999992</v>
          </cell>
        </row>
        <row r="46">
          <cell r="B46">
            <v>0.3</v>
          </cell>
          <cell r="C46">
            <v>0.75</v>
          </cell>
          <cell r="D46">
            <v>0.3</v>
          </cell>
          <cell r="E46">
            <v>0.56999999999999995</v>
          </cell>
        </row>
        <row r="47">
          <cell r="B47">
            <v>0.32</v>
          </cell>
          <cell r="C47">
            <v>0.63</v>
          </cell>
          <cell r="D47">
            <v>0.3</v>
          </cell>
          <cell r="E47">
            <v>0.6</v>
          </cell>
        </row>
        <row r="48">
          <cell r="B48">
            <v>0.32</v>
          </cell>
          <cell r="C48">
            <v>0.66</v>
          </cell>
          <cell r="D48">
            <v>0.32</v>
          </cell>
          <cell r="E48">
            <v>0.44999999999999996</v>
          </cell>
        </row>
        <row r="49">
          <cell r="B49">
            <v>0.32</v>
          </cell>
          <cell r="C49">
            <v>0.69</v>
          </cell>
          <cell r="D49">
            <v>0.32</v>
          </cell>
          <cell r="E49">
            <v>0.48</v>
          </cell>
        </row>
        <row r="50">
          <cell r="B50">
            <v>0.32</v>
          </cell>
          <cell r="C50">
            <v>0.72</v>
          </cell>
          <cell r="D50">
            <v>0.32</v>
          </cell>
          <cell r="E50">
            <v>0.51</v>
          </cell>
        </row>
        <row r="51">
          <cell r="B51">
            <v>0.32</v>
          </cell>
          <cell r="C51">
            <v>0.75</v>
          </cell>
          <cell r="D51">
            <v>0.32</v>
          </cell>
          <cell r="E51">
            <v>0.53999999999999992</v>
          </cell>
        </row>
        <row r="52">
          <cell r="B52">
            <v>0.33999999999999997</v>
          </cell>
          <cell r="C52">
            <v>0.6</v>
          </cell>
          <cell r="D52">
            <v>0.32</v>
          </cell>
          <cell r="E52">
            <v>0.56999999999999995</v>
          </cell>
        </row>
        <row r="53">
          <cell r="B53">
            <v>0.33999999999999997</v>
          </cell>
          <cell r="C53">
            <v>0.63</v>
          </cell>
          <cell r="D53">
            <v>0.32</v>
          </cell>
          <cell r="E53">
            <v>0.6</v>
          </cell>
        </row>
        <row r="54">
          <cell r="B54">
            <v>0.33999999999999997</v>
          </cell>
          <cell r="C54">
            <v>0.66</v>
          </cell>
          <cell r="D54">
            <v>0.33999999999999997</v>
          </cell>
          <cell r="E54">
            <v>0.44999999999999996</v>
          </cell>
        </row>
        <row r="55">
          <cell r="B55">
            <v>0.33999999999999997</v>
          </cell>
          <cell r="C55">
            <v>0.69</v>
          </cell>
          <cell r="D55">
            <v>0.33999999999999997</v>
          </cell>
          <cell r="E55">
            <v>0.48</v>
          </cell>
        </row>
        <row r="56">
          <cell r="B56">
            <v>0.33999999999999997</v>
          </cell>
          <cell r="C56">
            <v>0.72</v>
          </cell>
          <cell r="D56">
            <v>0.33999999999999997</v>
          </cell>
          <cell r="E56">
            <v>0.51</v>
          </cell>
        </row>
        <row r="57">
          <cell r="B57">
            <v>0.33999999999999997</v>
          </cell>
          <cell r="C57">
            <v>0.75</v>
          </cell>
          <cell r="D57">
            <v>0.33999999999999997</v>
          </cell>
          <cell r="E57">
            <v>0.53999999999999992</v>
          </cell>
        </row>
        <row r="58">
          <cell r="B58">
            <v>0.36</v>
          </cell>
          <cell r="C58">
            <v>0.56999999999999995</v>
          </cell>
          <cell r="D58">
            <v>0.33999999999999997</v>
          </cell>
          <cell r="E58">
            <v>0.56999999999999995</v>
          </cell>
        </row>
        <row r="59">
          <cell r="B59">
            <v>0.36</v>
          </cell>
          <cell r="C59">
            <v>0.6</v>
          </cell>
          <cell r="D59">
            <v>0.36</v>
          </cell>
          <cell r="E59">
            <v>0.44999999999999996</v>
          </cell>
        </row>
        <row r="60">
          <cell r="B60">
            <v>0.36</v>
          </cell>
          <cell r="C60">
            <v>0.63</v>
          </cell>
          <cell r="D60">
            <v>0.36</v>
          </cell>
          <cell r="E60">
            <v>0.48</v>
          </cell>
        </row>
        <row r="61">
          <cell r="B61">
            <v>0.36</v>
          </cell>
          <cell r="C61">
            <v>0.66</v>
          </cell>
          <cell r="D61">
            <v>0.36</v>
          </cell>
          <cell r="E61">
            <v>0.51</v>
          </cell>
        </row>
        <row r="62">
          <cell r="B62">
            <v>0.36</v>
          </cell>
          <cell r="C62">
            <v>0.69</v>
          </cell>
          <cell r="D62">
            <v>0.36</v>
          </cell>
          <cell r="E62">
            <v>0.53999999999999992</v>
          </cell>
        </row>
        <row r="63">
          <cell r="B63">
            <v>0.36</v>
          </cell>
          <cell r="C63">
            <v>0.72</v>
          </cell>
          <cell r="D63">
            <v>0.38</v>
          </cell>
          <cell r="E63">
            <v>0.44999999999999996</v>
          </cell>
        </row>
        <row r="64">
          <cell r="B64">
            <v>0.36</v>
          </cell>
          <cell r="C64">
            <v>0.75</v>
          </cell>
          <cell r="D64">
            <v>0.38</v>
          </cell>
          <cell r="E64">
            <v>0.48</v>
          </cell>
        </row>
        <row r="65">
          <cell r="B65">
            <v>0.38</v>
          </cell>
          <cell r="C65">
            <v>0.56999999999999995</v>
          </cell>
          <cell r="D65">
            <v>0.38</v>
          </cell>
          <cell r="E65">
            <v>0.51</v>
          </cell>
        </row>
        <row r="66">
          <cell r="B66">
            <v>0.38</v>
          </cell>
          <cell r="C66">
            <v>0.6</v>
          </cell>
          <cell r="D66">
            <v>0.38</v>
          </cell>
          <cell r="E66">
            <v>0.53999999999999992</v>
          </cell>
        </row>
        <row r="67">
          <cell r="B67">
            <v>0.38</v>
          </cell>
          <cell r="C67">
            <v>0.63</v>
          </cell>
          <cell r="D67">
            <v>0.4</v>
          </cell>
          <cell r="E67">
            <v>0.44999999999999996</v>
          </cell>
        </row>
        <row r="68">
          <cell r="B68">
            <v>0.38</v>
          </cell>
          <cell r="C68">
            <v>0.66</v>
          </cell>
          <cell r="D68">
            <v>0.4</v>
          </cell>
          <cell r="E68">
            <v>0.48</v>
          </cell>
        </row>
        <row r="69">
          <cell r="B69">
            <v>0.38</v>
          </cell>
          <cell r="C69">
            <v>0.69</v>
          </cell>
          <cell r="D69">
            <v>0.4</v>
          </cell>
          <cell r="E69">
            <v>0.51</v>
          </cell>
        </row>
        <row r="70">
          <cell r="B70">
            <v>0.38</v>
          </cell>
          <cell r="C70">
            <v>0.72</v>
          </cell>
          <cell r="D70">
            <v>0.42</v>
          </cell>
          <cell r="E70">
            <v>0.44999999999999996</v>
          </cell>
        </row>
        <row r="71">
          <cell r="B71">
            <v>0.38</v>
          </cell>
          <cell r="C71">
            <v>0.75</v>
          </cell>
          <cell r="D71">
            <v>0.42</v>
          </cell>
          <cell r="E71">
            <v>0.48</v>
          </cell>
        </row>
        <row r="72">
          <cell r="B72">
            <v>0.4</v>
          </cell>
          <cell r="C72">
            <v>0.53999999999999992</v>
          </cell>
          <cell r="D72">
            <v>0.42</v>
          </cell>
          <cell r="E72">
            <v>0.51</v>
          </cell>
        </row>
        <row r="73">
          <cell r="B73">
            <v>0.4</v>
          </cell>
          <cell r="C73">
            <v>0.56999999999999995</v>
          </cell>
          <cell r="D73">
            <v>0.44</v>
          </cell>
          <cell r="E73">
            <v>0.44999999999999996</v>
          </cell>
        </row>
        <row r="74">
          <cell r="B74">
            <v>0.4</v>
          </cell>
          <cell r="C74">
            <v>0.6</v>
          </cell>
          <cell r="D74">
            <v>0.44</v>
          </cell>
          <cell r="E74">
            <v>0.48</v>
          </cell>
        </row>
        <row r="75">
          <cell r="B75">
            <v>0.4</v>
          </cell>
          <cell r="C75">
            <v>0.63</v>
          </cell>
          <cell r="D75">
            <v>0.46</v>
          </cell>
          <cell r="E75">
            <v>0.44999999999999996</v>
          </cell>
        </row>
        <row r="76">
          <cell r="B76">
            <v>0.4</v>
          </cell>
          <cell r="C76">
            <v>0.66</v>
          </cell>
          <cell r="D76">
            <v>0.46</v>
          </cell>
          <cell r="E76">
            <v>0.48</v>
          </cell>
        </row>
        <row r="77">
          <cell r="B77">
            <v>0.4</v>
          </cell>
          <cell r="C77">
            <v>0.69</v>
          </cell>
          <cell r="D77">
            <v>0.48</v>
          </cell>
          <cell r="E77">
            <v>0.44999999999999996</v>
          </cell>
        </row>
        <row r="78">
          <cell r="B78">
            <v>0.4</v>
          </cell>
          <cell r="C78">
            <v>0.72</v>
          </cell>
          <cell r="D78">
            <v>0.5</v>
          </cell>
          <cell r="E78">
            <v>0.44999999999999996</v>
          </cell>
        </row>
        <row r="79">
          <cell r="B79">
            <v>0.4</v>
          </cell>
          <cell r="C79">
            <v>0.75</v>
          </cell>
        </row>
        <row r="80">
          <cell r="B80">
            <v>0.42</v>
          </cell>
          <cell r="C80">
            <v>0.53999999999999992</v>
          </cell>
        </row>
        <row r="81">
          <cell r="B81">
            <v>0.42</v>
          </cell>
          <cell r="C81">
            <v>0.56999999999999995</v>
          </cell>
        </row>
        <row r="82">
          <cell r="B82">
            <v>0.42</v>
          </cell>
          <cell r="C82">
            <v>0.6</v>
          </cell>
        </row>
        <row r="83">
          <cell r="B83">
            <v>0.42</v>
          </cell>
          <cell r="C83">
            <v>0.63</v>
          </cell>
        </row>
        <row r="84">
          <cell r="B84">
            <v>0.42</v>
          </cell>
          <cell r="C84">
            <v>0.66</v>
          </cell>
        </row>
        <row r="85">
          <cell r="B85">
            <v>0.42</v>
          </cell>
          <cell r="C85">
            <v>0.69</v>
          </cell>
        </row>
        <row r="86">
          <cell r="B86">
            <v>0.42</v>
          </cell>
          <cell r="C86">
            <v>0.72</v>
          </cell>
        </row>
        <row r="87">
          <cell r="B87">
            <v>0.42</v>
          </cell>
          <cell r="C87">
            <v>0.75</v>
          </cell>
        </row>
        <row r="88">
          <cell r="B88">
            <v>0.44</v>
          </cell>
          <cell r="C88">
            <v>0.51</v>
          </cell>
        </row>
        <row r="89">
          <cell r="B89">
            <v>0.44</v>
          </cell>
          <cell r="C89">
            <v>0.53999999999999992</v>
          </cell>
        </row>
        <row r="90">
          <cell r="B90">
            <v>0.44</v>
          </cell>
          <cell r="C90">
            <v>0.56999999999999995</v>
          </cell>
        </row>
        <row r="91">
          <cell r="B91">
            <v>0.44</v>
          </cell>
          <cell r="C91">
            <v>0.6</v>
          </cell>
        </row>
        <row r="92">
          <cell r="B92">
            <v>0.44</v>
          </cell>
          <cell r="C92">
            <v>0.63</v>
          </cell>
        </row>
        <row r="93">
          <cell r="B93">
            <v>0.44</v>
          </cell>
          <cell r="C93">
            <v>0.66</v>
          </cell>
        </row>
        <row r="94">
          <cell r="B94">
            <v>0.44</v>
          </cell>
          <cell r="C94">
            <v>0.69</v>
          </cell>
        </row>
        <row r="95">
          <cell r="B95">
            <v>0.44</v>
          </cell>
          <cell r="C95">
            <v>0.72</v>
          </cell>
        </row>
        <row r="96">
          <cell r="B96">
            <v>0.44</v>
          </cell>
          <cell r="C96">
            <v>0.75</v>
          </cell>
        </row>
        <row r="97">
          <cell r="B97">
            <v>0.46</v>
          </cell>
          <cell r="C97">
            <v>0.51</v>
          </cell>
        </row>
        <row r="98">
          <cell r="B98">
            <v>0.46</v>
          </cell>
          <cell r="C98">
            <v>0.53999999999999992</v>
          </cell>
        </row>
        <row r="99">
          <cell r="B99">
            <v>0.46</v>
          </cell>
          <cell r="C99">
            <v>0.56999999999999995</v>
          </cell>
        </row>
        <row r="100">
          <cell r="B100">
            <v>0.46</v>
          </cell>
          <cell r="C100">
            <v>0.6</v>
          </cell>
        </row>
        <row r="101">
          <cell r="B101">
            <v>0.46</v>
          </cell>
          <cell r="C101">
            <v>0.63</v>
          </cell>
        </row>
        <row r="102">
          <cell r="B102">
            <v>0.46</v>
          </cell>
          <cell r="C102">
            <v>0.66</v>
          </cell>
        </row>
        <row r="103">
          <cell r="B103">
            <v>0.46</v>
          </cell>
          <cell r="C103">
            <v>0.69</v>
          </cell>
        </row>
        <row r="104">
          <cell r="B104">
            <v>0.46</v>
          </cell>
          <cell r="C104">
            <v>0.72</v>
          </cell>
        </row>
        <row r="105">
          <cell r="B105">
            <v>0.46</v>
          </cell>
          <cell r="C105">
            <v>0.75</v>
          </cell>
        </row>
        <row r="106">
          <cell r="B106">
            <v>0.48</v>
          </cell>
          <cell r="C106">
            <v>0.48</v>
          </cell>
        </row>
        <row r="107">
          <cell r="B107">
            <v>0.48</v>
          </cell>
          <cell r="C107">
            <v>0.51</v>
          </cell>
        </row>
        <row r="108">
          <cell r="B108">
            <v>0.48</v>
          </cell>
          <cell r="C108">
            <v>0.53999999999999992</v>
          </cell>
        </row>
        <row r="109">
          <cell r="B109">
            <v>0.48</v>
          </cell>
          <cell r="C109">
            <v>0.56999999999999995</v>
          </cell>
        </row>
        <row r="110">
          <cell r="B110">
            <v>0.48</v>
          </cell>
          <cell r="C110">
            <v>0.6</v>
          </cell>
        </row>
        <row r="111">
          <cell r="B111">
            <v>0.48</v>
          </cell>
          <cell r="C111">
            <v>0.63</v>
          </cell>
        </row>
        <row r="112">
          <cell r="B112">
            <v>0.48</v>
          </cell>
          <cell r="C112">
            <v>0.66</v>
          </cell>
        </row>
        <row r="113">
          <cell r="B113">
            <v>0.48</v>
          </cell>
          <cell r="C113">
            <v>0.69</v>
          </cell>
        </row>
        <row r="114">
          <cell r="B114">
            <v>0.48</v>
          </cell>
          <cell r="C114">
            <v>0.72</v>
          </cell>
        </row>
        <row r="115">
          <cell r="B115">
            <v>0.48</v>
          </cell>
          <cell r="C115">
            <v>0.75</v>
          </cell>
        </row>
        <row r="116">
          <cell r="B116">
            <v>0.5</v>
          </cell>
          <cell r="C116">
            <v>0.48</v>
          </cell>
        </row>
        <row r="117">
          <cell r="B117">
            <v>0.5</v>
          </cell>
          <cell r="C117">
            <v>0.51</v>
          </cell>
        </row>
        <row r="118">
          <cell r="B118">
            <v>0.5</v>
          </cell>
          <cell r="C118">
            <v>0.53999999999999992</v>
          </cell>
        </row>
        <row r="119">
          <cell r="B119">
            <v>0.5</v>
          </cell>
          <cell r="C119">
            <v>0.56999999999999995</v>
          </cell>
        </row>
        <row r="120">
          <cell r="B120">
            <v>0.5</v>
          </cell>
          <cell r="C120">
            <v>0.6</v>
          </cell>
        </row>
        <row r="121">
          <cell r="B121">
            <v>0.5</v>
          </cell>
          <cell r="C121">
            <v>0.63</v>
          </cell>
        </row>
        <row r="122">
          <cell r="B122">
            <v>0.5</v>
          </cell>
          <cell r="C122">
            <v>0.66</v>
          </cell>
        </row>
        <row r="123">
          <cell r="B123">
            <v>0.5</v>
          </cell>
          <cell r="C123">
            <v>0.69</v>
          </cell>
        </row>
        <row r="124">
          <cell r="B124">
            <v>0.5</v>
          </cell>
          <cell r="C124">
            <v>0.72</v>
          </cell>
        </row>
        <row r="125">
          <cell r="B125">
            <v>0.5</v>
          </cell>
          <cell r="C125">
            <v>0.75</v>
          </cell>
        </row>
      </sheetData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ensitivity L14"/>
      <sheetName val="Sensitivity L18"/>
      <sheetName val="Sensitivity L19"/>
      <sheetName val="Sensitivity L20"/>
      <sheetName val="Sensitivity L13"/>
      <sheetName val="Strategy L14"/>
      <sheetName val="Strategy L18"/>
      <sheetName val="Strategy L19"/>
      <sheetName val="Strategy L20"/>
      <sheetName val="Strategy L13"/>
      <sheetName val="Tornado"/>
      <sheetName val="Spider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>
        <row r="32">
          <cell r="C32">
            <v>7.4999999999999997E-2</v>
          </cell>
          <cell r="E32">
            <v>4.0632055955800661</v>
          </cell>
          <cell r="G32">
            <v>-0.36423480258862589</v>
          </cell>
        </row>
        <row r="33">
          <cell r="C33">
            <v>0.08</v>
          </cell>
          <cell r="E33">
            <v>3.2350352203478843</v>
          </cell>
          <cell r="G33">
            <v>-0.32333396657036373</v>
          </cell>
        </row>
        <row r="34">
          <cell r="C34">
            <v>8.4999999999999992E-2</v>
          </cell>
          <cell r="E34">
            <v>2.5377839094571493</v>
          </cell>
          <cell r="G34">
            <v>-0.28894598925872295</v>
          </cell>
        </row>
        <row r="35">
          <cell r="C35">
            <v>0.09</v>
          </cell>
          <cell r="E35">
            <v>1.9432890458230208</v>
          </cell>
          <cell r="G35">
            <v>-0.25966885207826779</v>
          </cell>
        </row>
        <row r="36">
          <cell r="C36">
            <v>9.5000000000000001E-2</v>
          </cell>
          <cell r="E36">
            <v>1.4309021187842876</v>
          </cell>
          <cell r="G36">
            <v>-0.23447463787706829</v>
          </cell>
        </row>
        <row r="37">
          <cell r="C37">
            <v>0.1</v>
          </cell>
          <cell r="E37">
            <v>0.98514039086658423</v>
          </cell>
          <cell r="G37">
            <v>-0.21259261467146759</v>
          </cell>
        </row>
        <row r="38">
          <cell r="C38">
            <v>0.105</v>
          </cell>
          <cell r="E38">
            <v>0.59416739638170402</v>
          </cell>
          <cell r="G38">
            <v>-0.19343358439740141</v>
          </cell>
        </row>
        <row r="39">
          <cell r="C39">
            <v>0.11</v>
          </cell>
          <cell r="E39">
            <v>0.24877994793692509</v>
          </cell>
          <cell r="G39">
            <v>-0.17653944914285916</v>
          </cell>
        </row>
        <row r="40">
          <cell r="C40">
            <v>0.115</v>
          </cell>
          <cell r="E40">
            <v>-5.8284957709771476E-2</v>
          </cell>
          <cell r="G40">
            <v>-0.16154870419016498</v>
          </cell>
        </row>
        <row r="41">
          <cell r="C41">
            <v>0.12</v>
          </cell>
          <cell r="E41">
            <v>-0.33283529956560542</v>
          </cell>
          <cell r="G41">
            <v>-0.14817228346640474</v>
          </cell>
        </row>
        <row r="42">
          <cell r="C42">
            <v>0.125</v>
          </cell>
          <cell r="E42">
            <v>-0.57957056980949107</v>
          </cell>
          <cell r="G42">
            <v>-0.13617630658293747</v>
          </cell>
        </row>
      </sheetData>
      <sheetData sheetId="6">
        <row r="32">
          <cell r="C32">
            <v>0.44999999999999996</v>
          </cell>
          <cell r="E32">
            <v>-1.5892928605179293</v>
          </cell>
          <cell r="G32">
            <v>-0.21259261467146759</v>
          </cell>
        </row>
        <row r="33">
          <cell r="C33">
            <v>0.48</v>
          </cell>
          <cell r="E33">
            <v>-1.0744062102410261</v>
          </cell>
          <cell r="G33">
            <v>-0.21259261467146759</v>
          </cell>
        </row>
        <row r="34">
          <cell r="C34">
            <v>0.51</v>
          </cell>
          <cell r="E34">
            <v>-0.55951955996412317</v>
          </cell>
          <cell r="G34">
            <v>-0.21259261467146759</v>
          </cell>
        </row>
        <row r="35">
          <cell r="C35">
            <v>0.53999999999999992</v>
          </cell>
          <cell r="E35">
            <v>-4.4632909687221944E-2</v>
          </cell>
          <cell r="G35">
            <v>-0.21259261467146759</v>
          </cell>
        </row>
        <row r="36">
          <cell r="C36">
            <v>0.56999999999999995</v>
          </cell>
          <cell r="E36">
            <v>0.47025374058968111</v>
          </cell>
          <cell r="G36">
            <v>-0.21259261467146759</v>
          </cell>
        </row>
        <row r="37">
          <cell r="C37">
            <v>0.6</v>
          </cell>
          <cell r="E37">
            <v>0.98514039086658423</v>
          </cell>
          <cell r="G37">
            <v>-0.21259261467146759</v>
          </cell>
        </row>
        <row r="38">
          <cell r="C38">
            <v>0.63</v>
          </cell>
          <cell r="E38">
            <v>1.5000270411434873</v>
          </cell>
          <cell r="G38">
            <v>-0.21259261467146759</v>
          </cell>
        </row>
        <row r="39">
          <cell r="C39">
            <v>0.66</v>
          </cell>
          <cell r="E39">
            <v>2.0149136914203902</v>
          </cell>
          <cell r="G39">
            <v>-0.21259261467146759</v>
          </cell>
        </row>
        <row r="40">
          <cell r="C40">
            <v>0.69</v>
          </cell>
          <cell r="E40">
            <v>2.5298003416972916</v>
          </cell>
          <cell r="G40">
            <v>-0.21259261467146759</v>
          </cell>
        </row>
        <row r="41">
          <cell r="C41">
            <v>0.72</v>
          </cell>
          <cell r="E41">
            <v>3.0446869919741948</v>
          </cell>
          <cell r="G41">
            <v>-0.21259261467146759</v>
          </cell>
        </row>
        <row r="42">
          <cell r="C42">
            <v>0.75</v>
          </cell>
          <cell r="E42">
            <v>3.559573642251098</v>
          </cell>
          <cell r="G42">
            <v>-0.21259261467146759</v>
          </cell>
        </row>
      </sheetData>
      <sheetData sheetId="7">
        <row r="32">
          <cell r="C32">
            <v>0.3</v>
          </cell>
          <cell r="E32">
            <v>-0.51587931153147026</v>
          </cell>
          <cell r="G32">
            <v>-0.21259261467146759</v>
          </cell>
        </row>
        <row r="33">
          <cell r="C33">
            <v>0.32</v>
          </cell>
          <cell r="E33">
            <v>-0.21567537105185916</v>
          </cell>
          <cell r="G33">
            <v>-0.21259261467146759</v>
          </cell>
        </row>
        <row r="34">
          <cell r="C34">
            <v>0.33999999999999997</v>
          </cell>
          <cell r="E34">
            <v>8.4528569427750902E-2</v>
          </cell>
          <cell r="G34">
            <v>-0.21259261467146759</v>
          </cell>
        </row>
        <row r="35">
          <cell r="C35">
            <v>0.36</v>
          </cell>
          <cell r="E35">
            <v>0.38473250990736202</v>
          </cell>
          <cell r="G35">
            <v>-0.21259261467146759</v>
          </cell>
        </row>
        <row r="36">
          <cell r="C36">
            <v>0.38</v>
          </cell>
          <cell r="E36">
            <v>0.68493645038697315</v>
          </cell>
          <cell r="G36">
            <v>-0.21259261467146759</v>
          </cell>
        </row>
        <row r="37">
          <cell r="C37">
            <v>0.4</v>
          </cell>
          <cell r="E37">
            <v>0.98514039086658423</v>
          </cell>
          <cell r="G37">
            <v>-0.21259261467146759</v>
          </cell>
        </row>
        <row r="38">
          <cell r="C38">
            <v>0.42</v>
          </cell>
          <cell r="E38">
            <v>1.2853443313461936</v>
          </cell>
          <cell r="G38">
            <v>-0.21259261467146759</v>
          </cell>
        </row>
        <row r="39">
          <cell r="C39">
            <v>0.44</v>
          </cell>
          <cell r="E39">
            <v>1.5855482718258049</v>
          </cell>
          <cell r="G39">
            <v>-0.21259261467146759</v>
          </cell>
        </row>
        <row r="40">
          <cell r="C40">
            <v>0.46</v>
          </cell>
          <cell r="E40">
            <v>1.885752212305416</v>
          </cell>
          <cell r="G40">
            <v>-0.21259261467146759</v>
          </cell>
        </row>
        <row r="41">
          <cell r="C41">
            <v>0.48</v>
          </cell>
          <cell r="E41">
            <v>2.1859561527850269</v>
          </cell>
          <cell r="G41">
            <v>-0.21259261467146759</v>
          </cell>
        </row>
        <row r="42">
          <cell r="C42">
            <v>0.5</v>
          </cell>
          <cell r="E42">
            <v>2.4861600932646373</v>
          </cell>
          <cell r="G42">
            <v>-0.21259261467146759</v>
          </cell>
        </row>
      </sheetData>
      <sheetData sheetId="8">
        <row r="32">
          <cell r="C32">
            <v>0.44999999999999996</v>
          </cell>
          <cell r="E32">
            <v>1.021964675214682</v>
          </cell>
          <cell r="G32">
            <v>-0.12053190380122379</v>
          </cell>
        </row>
        <row r="33">
          <cell r="C33">
            <v>0.48</v>
          </cell>
          <cell r="E33">
            <v>1.0145998183450626</v>
          </cell>
          <cell r="G33">
            <v>-0.13894404597527257</v>
          </cell>
        </row>
        <row r="34">
          <cell r="C34">
            <v>0.51</v>
          </cell>
          <cell r="E34">
            <v>1.0072349614754428</v>
          </cell>
          <cell r="G34">
            <v>-0.15735618814932134</v>
          </cell>
        </row>
        <row r="35">
          <cell r="C35">
            <v>0.53999999999999992</v>
          </cell>
          <cell r="E35">
            <v>0.99987010460582348</v>
          </cell>
          <cell r="G35">
            <v>-0.17576833032337005</v>
          </cell>
        </row>
        <row r="36">
          <cell r="C36">
            <v>0.56999999999999995</v>
          </cell>
          <cell r="E36">
            <v>0.99250524773620419</v>
          </cell>
          <cell r="G36">
            <v>-0.19418047249741882</v>
          </cell>
        </row>
        <row r="37">
          <cell r="C37">
            <v>0.6</v>
          </cell>
          <cell r="E37">
            <v>0.98514039086658423</v>
          </cell>
          <cell r="G37">
            <v>-0.21259261467146759</v>
          </cell>
        </row>
        <row r="38">
          <cell r="C38">
            <v>0.63</v>
          </cell>
          <cell r="E38">
            <v>0.97777553399696493</v>
          </cell>
          <cell r="G38">
            <v>-0.23100475684551636</v>
          </cell>
        </row>
        <row r="39">
          <cell r="C39">
            <v>0.66</v>
          </cell>
          <cell r="E39">
            <v>0.97041067712734563</v>
          </cell>
          <cell r="G39">
            <v>-0.24941689901956512</v>
          </cell>
        </row>
        <row r="40">
          <cell r="C40">
            <v>0.69</v>
          </cell>
          <cell r="E40">
            <v>0.96304582025772567</v>
          </cell>
          <cell r="G40">
            <v>-0.26782904119361384</v>
          </cell>
        </row>
        <row r="41">
          <cell r="C41">
            <v>0.72</v>
          </cell>
          <cell r="E41">
            <v>0.95568096338810637</v>
          </cell>
          <cell r="G41">
            <v>-0.28624118336766263</v>
          </cell>
        </row>
        <row r="42">
          <cell r="C42">
            <v>0.75</v>
          </cell>
          <cell r="E42">
            <v>0.94831610651848719</v>
          </cell>
          <cell r="G42">
            <v>-0.30465332554171137</v>
          </cell>
        </row>
      </sheetData>
      <sheetData sheetId="9">
        <row r="32">
          <cell r="C32">
            <v>7.4999999999999997E-2</v>
          </cell>
          <cell r="E32">
            <v>1.0063996523337313</v>
          </cell>
          <cell r="G32">
            <v>-0.15944446100360066</v>
          </cell>
        </row>
        <row r="33">
          <cell r="C33">
            <v>0.08</v>
          </cell>
          <cell r="E33">
            <v>1.0021478000403019</v>
          </cell>
          <cell r="G33">
            <v>-0.17007409173717408</v>
          </cell>
        </row>
        <row r="34">
          <cell r="C34">
            <v>8.4999999999999992E-2</v>
          </cell>
          <cell r="E34">
            <v>0.99789594774687251</v>
          </cell>
          <cell r="G34">
            <v>-0.18070372247074742</v>
          </cell>
        </row>
        <row r="35">
          <cell r="C35">
            <v>0.09</v>
          </cell>
          <cell r="E35">
            <v>0.99364409545344312</v>
          </cell>
          <cell r="G35">
            <v>-0.19133335320432082</v>
          </cell>
        </row>
        <row r="36">
          <cell r="C36">
            <v>9.5000000000000001E-2</v>
          </cell>
          <cell r="E36">
            <v>0.98939224316001362</v>
          </cell>
          <cell r="G36">
            <v>-0.20196298393789422</v>
          </cell>
        </row>
        <row r="37">
          <cell r="C37">
            <v>0.1</v>
          </cell>
          <cell r="E37">
            <v>0.98514039086658423</v>
          </cell>
          <cell r="G37">
            <v>-0.21259261467146759</v>
          </cell>
        </row>
        <row r="38">
          <cell r="C38">
            <v>0.105</v>
          </cell>
          <cell r="E38">
            <v>0.98088853857315483</v>
          </cell>
          <cell r="G38">
            <v>-0.22322224540504096</v>
          </cell>
        </row>
        <row r="39">
          <cell r="C39">
            <v>0.11</v>
          </cell>
          <cell r="E39">
            <v>0.97663668627972611</v>
          </cell>
          <cell r="G39">
            <v>-0.23385187613861433</v>
          </cell>
        </row>
        <row r="40">
          <cell r="C40">
            <v>0.115</v>
          </cell>
          <cell r="E40">
            <v>0.9723848339862966</v>
          </cell>
          <cell r="G40">
            <v>-0.24448150687218773</v>
          </cell>
        </row>
        <row r="41">
          <cell r="C41">
            <v>0.12</v>
          </cell>
          <cell r="E41">
            <v>0.96813298169286721</v>
          </cell>
          <cell r="G41">
            <v>-0.2551111376057611</v>
          </cell>
        </row>
        <row r="42">
          <cell r="C42">
            <v>0.125</v>
          </cell>
          <cell r="E42">
            <v>0.96388112939943771</v>
          </cell>
          <cell r="G42">
            <v>-0.26574076833933447</v>
          </cell>
        </row>
      </sheetData>
      <sheetData sheetId="10">
        <row r="33">
          <cell r="C33" t="str">
            <v>Discount Rate (L14)</v>
          </cell>
        </row>
        <row r="34">
          <cell r="C34" t="str">
            <v>P(Deal Closes) (L18)</v>
          </cell>
        </row>
        <row r="35">
          <cell r="C35" t="str">
            <v>P(DG Creates Value) (L19)</v>
          </cell>
        </row>
        <row r="36">
          <cell r="C36" t="str">
            <v>P(DT creates Value) (L20)</v>
          </cell>
        </row>
        <row r="37">
          <cell r="C37" t="str">
            <v>Cost of DT being strong (L13)</v>
          </cell>
        </row>
      </sheetData>
      <sheetData sheetId="11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jpeg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367"/>
  <sheetViews>
    <sheetView showGridLines="0" showRowColHeaders="0" tabSelected="1" zoomScale="135" zoomScaleNormal="135" workbookViewId="0">
      <selection activeCell="F19" sqref="F19"/>
    </sheetView>
  </sheetViews>
  <sheetFormatPr defaultRowHeight="14.4" x14ac:dyDescent="0.3"/>
  <cols>
    <col min="1" max="1" width="2.6640625" customWidth="1"/>
    <col min="2" max="2" width="12.44140625" customWidth="1"/>
    <col min="3" max="3" width="15.6640625" customWidth="1"/>
    <col min="4" max="4" width="16.6640625" customWidth="1"/>
    <col min="5" max="5" width="16.77734375" customWidth="1"/>
    <col min="6" max="6" width="9.5546875" customWidth="1"/>
    <col min="7" max="9" width="4.109375" customWidth="1"/>
    <col min="10" max="10" width="11.21875" customWidth="1"/>
    <col min="11" max="12" width="7.88671875" customWidth="1"/>
    <col min="13" max="13" width="4.109375" customWidth="1"/>
    <col min="14" max="15" width="7.88671875" customWidth="1"/>
    <col min="16" max="20" width="6.88671875" customWidth="1"/>
  </cols>
  <sheetData>
    <row r="1" spans="2:22" ht="18.600000000000001" thickBot="1" x14ac:dyDescent="0.4">
      <c r="B1" s="8" t="s">
        <v>122</v>
      </c>
      <c r="C1" s="8"/>
      <c r="D1" s="8"/>
      <c r="E1" s="8"/>
      <c r="F1" s="8"/>
      <c r="G1" s="8"/>
      <c r="J1" s="8" t="s">
        <v>107</v>
      </c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</row>
    <row r="3" spans="2:22" ht="14.4" customHeight="1" x14ac:dyDescent="0.3">
      <c r="E3" s="38">
        <f>L19</f>
        <v>0.4</v>
      </c>
      <c r="F3" s="19">
        <f>_xll.PTreeNodeProbability(treeCalc_2!$F$2,6)</f>
        <v>0.24</v>
      </c>
      <c r="J3" s="27" t="s">
        <v>133</v>
      </c>
      <c r="K3" s="27"/>
      <c r="L3" s="3">
        <v>8.5</v>
      </c>
    </row>
    <row r="4" spans="2:22" ht="14.4" customHeight="1" x14ac:dyDescent="0.3">
      <c r="E4" s="39">
        <f>L3+L7+M7</f>
        <v>31.96049275187249</v>
      </c>
      <c r="F4" s="51">
        <f>_xll.PTreeNodeValue(treeCalc_2!$F$2,6)</f>
        <v>22.860492751872492</v>
      </c>
      <c r="J4" t="s">
        <v>134</v>
      </c>
      <c r="L4" s="3">
        <v>9.1</v>
      </c>
    </row>
    <row r="5" spans="2:22" ht="14.4" customHeight="1" x14ac:dyDescent="0.3">
      <c r="D5" s="38">
        <f>L18</f>
        <v>0.6</v>
      </c>
      <c r="E5" s="24" t="s">
        <v>143</v>
      </c>
      <c r="L5" s="9" t="s">
        <v>153</v>
      </c>
      <c r="N5" s="2" t="s">
        <v>148</v>
      </c>
      <c r="P5" s="52" t="s">
        <v>154</v>
      </c>
      <c r="Q5" s="53"/>
      <c r="R5" s="53"/>
      <c r="S5" s="53"/>
      <c r="T5" s="53"/>
      <c r="U5" s="53"/>
      <c r="V5" s="53"/>
    </row>
    <row r="6" spans="2:22" ht="14.4" customHeight="1" x14ac:dyDescent="0.3">
      <c r="D6" s="20">
        <v>0</v>
      </c>
      <c r="E6" s="41">
        <f>_xll.PTreeNodeValue(treeCalc_2!$F$2,4)</f>
        <v>7.850295727891953</v>
      </c>
      <c r="L6" s="9" t="s">
        <v>147</v>
      </c>
      <c r="M6" s="28"/>
      <c r="N6" s="9" t="s">
        <v>1</v>
      </c>
      <c r="O6" s="9" t="s">
        <v>135</v>
      </c>
      <c r="P6" s="2">
        <v>2015</v>
      </c>
      <c r="Q6" s="2">
        <f>P6+1</f>
        <v>2016</v>
      </c>
      <c r="R6" s="2">
        <f t="shared" ref="R6:T6" si="0">Q6+1</f>
        <v>2017</v>
      </c>
      <c r="S6" s="2">
        <f t="shared" si="0"/>
        <v>2018</v>
      </c>
      <c r="T6" s="2">
        <f t="shared" si="0"/>
        <v>2019</v>
      </c>
      <c r="U6" s="9" t="s">
        <v>9</v>
      </c>
      <c r="V6" s="9" t="s">
        <v>145</v>
      </c>
    </row>
    <row r="7" spans="2:22" ht="14.4" customHeight="1" x14ac:dyDescent="0.3">
      <c r="E7" s="38">
        <f>1-E3</f>
        <v>0.6</v>
      </c>
      <c r="F7" s="19">
        <f>_xll.PTreeNodeProbability(treeCalc_2!$F$2,7)</f>
        <v>0.36</v>
      </c>
      <c r="J7" t="s">
        <v>138</v>
      </c>
      <c r="L7" s="3">
        <f>V7</f>
        <v>23.46049275187249</v>
      </c>
      <c r="M7" s="3"/>
      <c r="N7" s="3">
        <v>2.1</v>
      </c>
      <c r="O7" s="3">
        <v>0.6</v>
      </c>
      <c r="P7" s="3">
        <v>0</v>
      </c>
      <c r="Q7" s="3">
        <f>T7/5+P7</f>
        <v>0.54</v>
      </c>
      <c r="R7" s="3">
        <f>$T7/5+SUM($P7:Q7)</f>
        <v>1.08</v>
      </c>
      <c r="S7" s="3">
        <f>$T7/5+SUM($P7:R7)</f>
        <v>2.16</v>
      </c>
      <c r="T7" s="3">
        <f>O7+N7</f>
        <v>2.7</v>
      </c>
      <c r="U7" s="3">
        <f>T7/($L$14-$L$15)</f>
        <v>33.75</v>
      </c>
      <c r="V7" s="44">
        <f>NPV($L$14,P7:U7)</f>
        <v>23.46049275187249</v>
      </c>
    </row>
    <row r="8" spans="2:22" ht="14.4" customHeight="1" x14ac:dyDescent="0.3">
      <c r="E8" s="39">
        <f>L3+L8+M8</f>
        <v>6.943497711904925</v>
      </c>
      <c r="F8" s="51">
        <f>_xll.PTreeNodeValue(treeCalc_2!$F$2,7)</f>
        <v>-2.1565022880950746</v>
      </c>
      <c r="J8" t="s">
        <v>140</v>
      </c>
      <c r="L8" s="44">
        <f t="shared" ref="L8:L10" si="1">V8</f>
        <v>-1.5565022880950752</v>
      </c>
      <c r="N8" s="44">
        <v>-0.5</v>
      </c>
      <c r="O8" s="44">
        <v>-0.25</v>
      </c>
      <c r="P8" s="44">
        <f>O8+N8</f>
        <v>-0.75</v>
      </c>
      <c r="Q8" s="44">
        <f>3*($P8/4)</f>
        <v>-0.5625</v>
      </c>
      <c r="R8" s="44">
        <f>2*($P8/4)</f>
        <v>-0.375</v>
      </c>
      <c r="S8" s="44">
        <f>1*($P8/4)</f>
        <v>-0.1875</v>
      </c>
      <c r="T8" s="3">
        <v>0</v>
      </c>
      <c r="U8" s="44">
        <f t="shared" ref="U8:U10" si="2">T8/($L$14-$L$15)</f>
        <v>0</v>
      </c>
      <c r="V8" s="44">
        <f t="shared" ref="V8:V10" si="3">NPV($L$14,P8:U8)</f>
        <v>-1.5565022880950752</v>
      </c>
    </row>
    <row r="9" spans="2:22" ht="14.4" customHeight="1" x14ac:dyDescent="0.3">
      <c r="C9" s="23" t="b">
        <f>_xll.PTreeNodeDecision(treeCalc_2!$F$2,2)</f>
        <v>1</v>
      </c>
      <c r="D9" s="24" t="s">
        <v>159</v>
      </c>
      <c r="J9" t="s">
        <v>139</v>
      </c>
      <c r="L9" s="3">
        <f t="shared" si="1"/>
        <v>4.5808784365878434</v>
      </c>
      <c r="M9" s="3"/>
      <c r="N9" s="3">
        <v>0.22720000000000001</v>
      </c>
      <c r="O9" s="3">
        <v>0.3</v>
      </c>
      <c r="P9" s="3">
        <v>0</v>
      </c>
      <c r="Q9" s="3">
        <f t="shared" ref="Q9" si="4">T9/5+P9</f>
        <v>0.10544000000000001</v>
      </c>
      <c r="R9" s="3">
        <f>$T9/5+SUM($P9:Q9)</f>
        <v>0.21088000000000001</v>
      </c>
      <c r="S9" s="3">
        <f>$T9/5+SUM($P9:R9)</f>
        <v>0.42176000000000002</v>
      </c>
      <c r="T9" s="3">
        <f t="shared" ref="T9" si="5">O9+N9</f>
        <v>0.5272</v>
      </c>
      <c r="U9" s="3">
        <f t="shared" si="2"/>
        <v>6.59</v>
      </c>
      <c r="V9" s="44">
        <f t="shared" si="3"/>
        <v>4.5808784365878434</v>
      </c>
    </row>
    <row r="10" spans="2:22" ht="14.4" customHeight="1" x14ac:dyDescent="0.3">
      <c r="C10" s="39">
        <v>-9.1</v>
      </c>
      <c r="D10" s="41">
        <f>_xll.PTreeNodeValue(treeCalc_2!$F$2,2)</f>
        <v>0.98514039086658423</v>
      </c>
      <c r="J10" t="s">
        <v>141</v>
      </c>
      <c r="L10" s="44">
        <f t="shared" si="1"/>
        <v>-1.5565022880950752</v>
      </c>
      <c r="N10" s="44">
        <v>-0.5</v>
      </c>
      <c r="O10" s="44">
        <v>-0.25</v>
      </c>
      <c r="P10" s="44">
        <f>O10+N10</f>
        <v>-0.75</v>
      </c>
      <c r="Q10" s="44">
        <f>3*($P10/4)</f>
        <v>-0.5625</v>
      </c>
      <c r="R10" s="44">
        <f>2*($P10/4)</f>
        <v>-0.375</v>
      </c>
      <c r="S10" s="44">
        <f>1*($P10/4)</f>
        <v>-0.1875</v>
      </c>
      <c r="T10" s="3">
        <v>0</v>
      </c>
      <c r="U10" s="44">
        <f t="shared" si="2"/>
        <v>0</v>
      </c>
      <c r="V10" s="44">
        <f t="shared" si="3"/>
        <v>-1.5565022880950752</v>
      </c>
    </row>
    <row r="11" spans="2:22" ht="14.4" customHeight="1" x14ac:dyDescent="0.3">
      <c r="E11" s="38">
        <f>L20</f>
        <v>0.6</v>
      </c>
      <c r="F11" s="19">
        <f>_xll.PTreeNodeProbability(treeCalc_2!$F$2,8)</f>
        <v>0.24</v>
      </c>
    </row>
    <row r="12" spans="2:22" ht="14.4" customHeight="1" x14ac:dyDescent="0.3">
      <c r="E12" s="39">
        <f>D20</f>
        <v>-0.45808784365878435</v>
      </c>
      <c r="F12" s="51">
        <f>_xll.PTreeNodeValue(treeCalc_2!$F$2,8)</f>
        <v>-9.5580878436587842</v>
      </c>
    </row>
    <row r="13" spans="2:22" ht="14.4" customHeight="1" x14ac:dyDescent="0.3">
      <c r="D13" s="38">
        <f>1-D5</f>
        <v>0.4</v>
      </c>
      <c r="E13" s="43" t="s">
        <v>144</v>
      </c>
      <c r="J13" t="s">
        <v>136</v>
      </c>
      <c r="L13" s="40">
        <v>0.1</v>
      </c>
      <c r="M13" t="s">
        <v>137</v>
      </c>
    </row>
    <row r="14" spans="2:22" ht="14.4" customHeight="1" x14ac:dyDescent="0.3">
      <c r="D14" s="20">
        <v>0</v>
      </c>
      <c r="E14" s="41">
        <f>_xll.PTreeNodeValue(treeCalc_2!$F$2,5)</f>
        <v>-9.3125926146714679</v>
      </c>
      <c r="J14" t="s">
        <v>15</v>
      </c>
      <c r="L14" s="40">
        <v>0.1</v>
      </c>
    </row>
    <row r="15" spans="2:22" ht="14.4" customHeight="1" x14ac:dyDescent="0.3">
      <c r="E15" s="38">
        <f>1-E11</f>
        <v>0.4</v>
      </c>
      <c r="F15" s="19">
        <f>_xll.PTreeNodeProbability(treeCalc_2!$F$2,9)</f>
        <v>0.16000000000000003</v>
      </c>
      <c r="J15" t="s">
        <v>146</v>
      </c>
      <c r="L15" s="40">
        <v>0.02</v>
      </c>
    </row>
    <row r="16" spans="2:22" ht="14.4" customHeight="1" x14ac:dyDescent="0.3">
      <c r="E16" s="39">
        <f>D24</f>
        <v>0.15565022880950752</v>
      </c>
      <c r="F16" s="51">
        <f>_xll.PTreeNodeValue(treeCalc_2!$F$2,9)</f>
        <v>-8.9443497711904918</v>
      </c>
    </row>
    <row r="17" spans="1:12" ht="14.4" customHeight="1" x14ac:dyDescent="0.3">
      <c r="B17" s="20"/>
      <c r="C17" s="64" t="str">
        <f>IF(C18=D10,"Go Hostile!", "Lay Low")</f>
        <v>Go Hostile!</v>
      </c>
      <c r="J17" t="s">
        <v>149</v>
      </c>
    </row>
    <row r="18" spans="1:12" ht="14.4" customHeight="1" x14ac:dyDescent="0.3">
      <c r="B18" s="20"/>
      <c r="C18" s="42">
        <f>_xll.PTreeNodeValue(treeCalc_2!$F$2,1)</f>
        <v>0.98514039086658423</v>
      </c>
      <c r="J18" t="s">
        <v>150</v>
      </c>
      <c r="L18" s="40">
        <v>0.6</v>
      </c>
    </row>
    <row r="19" spans="1:12" ht="14.4" customHeight="1" x14ac:dyDescent="0.3">
      <c r="D19" s="38">
        <f>L20</f>
        <v>0.6</v>
      </c>
      <c r="E19" s="19">
        <f>_xll.PTreeNodeProbability(treeCalc_2!$F$2,10)</f>
        <v>0</v>
      </c>
      <c r="J19" t="s">
        <v>151</v>
      </c>
      <c r="L19" s="40">
        <v>0.4</v>
      </c>
    </row>
    <row r="20" spans="1:12" ht="14.4" customHeight="1" x14ac:dyDescent="0.3">
      <c r="D20" s="39">
        <f>-L13*(L9+M9)</f>
        <v>-0.45808784365878435</v>
      </c>
      <c r="E20" s="51">
        <f>_xll.PTreeNodeValue(treeCalc_2!$F$2,10)</f>
        <v>-0.45808784365878435</v>
      </c>
      <c r="J20" t="s">
        <v>152</v>
      </c>
      <c r="L20" s="40">
        <v>0.6</v>
      </c>
    </row>
    <row r="21" spans="1:12" ht="14.4" customHeight="1" x14ac:dyDescent="0.3">
      <c r="C21" s="23" t="b">
        <f>_xll.PTreeNodeDecision(treeCalc_2!$F$2,3)</f>
        <v>0</v>
      </c>
      <c r="D21" s="43" t="s">
        <v>144</v>
      </c>
    </row>
    <row r="22" spans="1:12" ht="14.4" customHeight="1" x14ac:dyDescent="0.3">
      <c r="C22" s="20">
        <v>0</v>
      </c>
      <c r="D22" s="41">
        <f>_xll.PTreeNodeValue(treeCalc_2!$F$2,3)</f>
        <v>-0.21259261467146759</v>
      </c>
    </row>
    <row r="23" spans="1:12" ht="14.4" customHeight="1" x14ac:dyDescent="0.3">
      <c r="D23" s="38">
        <f>1-D19</f>
        <v>0.4</v>
      </c>
      <c r="E23" s="19">
        <f>_xll.PTreeNodeProbability(treeCalc_2!$F$2,11)</f>
        <v>0</v>
      </c>
    </row>
    <row r="24" spans="1:12" ht="14.4" customHeight="1" x14ac:dyDescent="0.3">
      <c r="D24" s="39">
        <f>-L13*(+L10+M10)</f>
        <v>0.15565022880950752</v>
      </c>
      <c r="E24" s="51">
        <f>_xll.PTreeNodeValue(treeCalc_2!$F$2,11)</f>
        <v>0.15565022880950752</v>
      </c>
    </row>
    <row r="25" spans="1:12" ht="15.6" x14ac:dyDescent="0.3">
      <c r="A25" s="27"/>
      <c r="B25" s="27"/>
      <c r="C25" s="27"/>
      <c r="D25" s="27"/>
      <c r="E25" s="27"/>
      <c r="F25" s="27"/>
      <c r="G25" s="27"/>
      <c r="H25" s="27"/>
      <c r="I25" s="27"/>
    </row>
    <row r="26" spans="1:12" ht="15.6" x14ac:dyDescent="0.3">
      <c r="A26" s="27"/>
      <c r="B26" s="27"/>
      <c r="C26" s="27"/>
      <c r="D26" s="27"/>
      <c r="E26" s="27"/>
      <c r="F26" s="27"/>
      <c r="G26" s="27"/>
      <c r="H26" s="27"/>
      <c r="I26" s="27"/>
    </row>
    <row r="27" spans="1:12" ht="15.6" x14ac:dyDescent="0.3">
      <c r="A27" s="27"/>
      <c r="B27" s="27"/>
      <c r="C27" s="27"/>
      <c r="D27" s="27"/>
      <c r="E27" s="27"/>
      <c r="F27" s="27"/>
      <c r="G27" s="27"/>
      <c r="H27" s="27"/>
      <c r="I27" s="27"/>
    </row>
    <row r="28" spans="1:12" ht="15.6" x14ac:dyDescent="0.3">
      <c r="A28" s="27"/>
      <c r="E28" s="27"/>
      <c r="F28" s="27"/>
      <c r="G28" s="27"/>
      <c r="H28" s="27"/>
      <c r="I28" s="27"/>
    </row>
    <row r="29" spans="1:12" ht="15.6" x14ac:dyDescent="0.3">
      <c r="A29" s="27"/>
      <c r="B29" s="27"/>
      <c r="C29" s="27"/>
      <c r="D29" s="27"/>
      <c r="E29" s="27"/>
      <c r="F29" s="27"/>
      <c r="G29" s="27"/>
      <c r="H29" s="27"/>
      <c r="I29" s="27"/>
    </row>
    <row r="30" spans="1:12" ht="15.6" x14ac:dyDescent="0.3">
      <c r="A30" s="27"/>
      <c r="B30" s="27"/>
      <c r="C30" s="27"/>
      <c r="D30" s="27"/>
      <c r="E30" s="27"/>
      <c r="F30" s="27"/>
      <c r="G30" s="27"/>
      <c r="H30" s="27"/>
      <c r="I30" s="27"/>
    </row>
    <row r="31" spans="1:12" ht="15.6" x14ac:dyDescent="0.3">
      <c r="A31" s="27"/>
      <c r="B31" s="27"/>
      <c r="C31" s="27"/>
      <c r="D31" s="27"/>
      <c r="E31" s="27"/>
      <c r="F31" s="27"/>
      <c r="G31" s="27"/>
      <c r="H31" s="27"/>
      <c r="I31" s="27"/>
    </row>
    <row r="32" spans="1:12" ht="15.6" x14ac:dyDescent="0.3">
      <c r="A32" s="27"/>
      <c r="B32" s="27"/>
      <c r="C32" s="27"/>
      <c r="D32" s="27"/>
      <c r="E32" s="27"/>
      <c r="F32" s="27"/>
      <c r="G32" s="27"/>
      <c r="H32" s="27"/>
      <c r="I32" s="27"/>
    </row>
    <row r="33" spans="1:9" ht="15.6" x14ac:dyDescent="0.3">
      <c r="A33" s="27"/>
      <c r="B33" s="27"/>
      <c r="C33" s="27"/>
      <c r="D33" s="27"/>
      <c r="E33" s="27"/>
      <c r="F33" s="27"/>
      <c r="G33" s="27"/>
      <c r="H33" s="27"/>
      <c r="I33" s="27"/>
    </row>
    <row r="34" spans="1:9" ht="15.6" x14ac:dyDescent="0.3">
      <c r="A34" s="27"/>
      <c r="B34" s="27"/>
      <c r="C34" s="27"/>
      <c r="D34" s="27"/>
      <c r="E34" s="27"/>
      <c r="F34" s="27"/>
      <c r="G34" s="27"/>
      <c r="H34" s="27"/>
      <c r="I34" s="27"/>
    </row>
    <row r="35" spans="1:9" ht="15.6" x14ac:dyDescent="0.3">
      <c r="A35" s="27"/>
      <c r="B35" s="27"/>
      <c r="C35" s="27"/>
      <c r="D35" s="27"/>
      <c r="E35" s="27"/>
      <c r="F35" s="27"/>
      <c r="G35" s="27"/>
      <c r="H35" s="27"/>
      <c r="I35" s="27"/>
    </row>
    <row r="36" spans="1:9" ht="15.6" x14ac:dyDescent="0.3">
      <c r="A36" s="27"/>
      <c r="B36" s="27"/>
      <c r="C36" s="27"/>
      <c r="D36" s="27"/>
      <c r="E36" s="27"/>
      <c r="F36" s="27"/>
      <c r="G36" s="27"/>
      <c r="H36" s="27"/>
      <c r="I36" s="27"/>
    </row>
    <row r="37" spans="1:9" ht="15.6" x14ac:dyDescent="0.3">
      <c r="A37" s="27"/>
      <c r="B37" s="27"/>
      <c r="C37" s="27"/>
      <c r="D37" s="27"/>
      <c r="E37" s="27"/>
      <c r="F37" s="27"/>
      <c r="G37" s="27"/>
      <c r="H37" s="27"/>
      <c r="I37" s="27"/>
    </row>
    <row r="38" spans="1:9" ht="15.6" x14ac:dyDescent="0.3">
      <c r="A38" s="27"/>
      <c r="B38" s="27"/>
      <c r="C38" s="27"/>
      <c r="D38" s="27"/>
      <c r="E38" s="27"/>
      <c r="F38" s="27"/>
      <c r="G38" s="27"/>
      <c r="H38" s="27"/>
      <c r="I38" s="27"/>
    </row>
    <row r="39" spans="1:9" ht="15.6" x14ac:dyDescent="0.3">
      <c r="A39" s="27"/>
      <c r="B39" s="27"/>
      <c r="C39" s="27"/>
      <c r="D39" s="27"/>
      <c r="E39" s="27"/>
      <c r="F39" s="27"/>
      <c r="G39" s="27"/>
      <c r="H39" s="27"/>
      <c r="I39" s="27"/>
    </row>
    <row r="40" spans="1:9" ht="15.6" x14ac:dyDescent="0.3">
      <c r="A40" s="27"/>
      <c r="B40" s="27"/>
      <c r="C40" s="27"/>
      <c r="D40" s="27"/>
      <c r="E40" s="27"/>
      <c r="F40" s="27"/>
      <c r="G40" s="27"/>
      <c r="H40" s="27"/>
      <c r="I40" s="27"/>
    </row>
    <row r="58" spans="7:21" x14ac:dyDescent="0.3">
      <c r="I58" s="3"/>
    </row>
    <row r="59" spans="7:21" ht="15" thickBot="1" x14ac:dyDescent="0.35">
      <c r="H59" s="6" t="s">
        <v>95</v>
      </c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</row>
    <row r="61" spans="7:21" x14ac:dyDescent="0.3">
      <c r="H61" s="2" t="s">
        <v>0</v>
      </c>
    </row>
    <row r="62" spans="7:21" x14ac:dyDescent="0.3">
      <c r="H62" t="s">
        <v>98</v>
      </c>
      <c r="L62" s="1">
        <f>N$48</f>
        <v>0</v>
      </c>
      <c r="N62" t="s">
        <v>80</v>
      </c>
    </row>
    <row r="63" spans="7:21" x14ac:dyDescent="0.3">
      <c r="G63" s="28" t="s">
        <v>81</v>
      </c>
      <c r="H63" s="29" t="s">
        <v>99</v>
      </c>
      <c r="I63" s="29"/>
      <c r="J63" s="29"/>
      <c r="K63" s="29"/>
      <c r="L63" s="1">
        <f>P$36</f>
        <v>0</v>
      </c>
      <c r="M63" s="1">
        <f>L63-L62</f>
        <v>0</v>
      </c>
      <c r="N63" t="s">
        <v>82</v>
      </c>
    </row>
    <row r="64" spans="7:21" x14ac:dyDescent="0.3">
      <c r="G64" s="28" t="s">
        <v>81</v>
      </c>
      <c r="H64" s="29" t="s">
        <v>100</v>
      </c>
      <c r="I64" s="29"/>
      <c r="J64" s="29"/>
      <c r="K64" s="29"/>
      <c r="L64" s="5">
        <f>P$37</f>
        <v>0</v>
      </c>
      <c r="M64" s="5">
        <f>L64-J$78</f>
        <v>-2010</v>
      </c>
      <c r="N64" t="s">
        <v>83</v>
      </c>
    </row>
    <row r="65" spans="7:21" x14ac:dyDescent="0.3">
      <c r="H65" t="s">
        <v>89</v>
      </c>
      <c r="L65" s="1">
        <f>N$49</f>
        <v>0</v>
      </c>
      <c r="N65" t="s">
        <v>84</v>
      </c>
    </row>
    <row r="66" spans="7:21" x14ac:dyDescent="0.3">
      <c r="G66" s="28" t="s">
        <v>81</v>
      </c>
      <c r="H66" t="s">
        <v>90</v>
      </c>
      <c r="L66" s="1">
        <f>P$38</f>
        <v>0</v>
      </c>
      <c r="M66" s="1">
        <f>L66-L65</f>
        <v>0</v>
      </c>
      <c r="N66" t="s">
        <v>85</v>
      </c>
    </row>
    <row r="67" spans="7:21" x14ac:dyDescent="0.3">
      <c r="G67" s="28" t="s">
        <v>81</v>
      </c>
      <c r="H67" t="s">
        <v>91</v>
      </c>
      <c r="L67" s="5">
        <f>P$39</f>
        <v>0</v>
      </c>
      <c r="M67" s="5">
        <f>L67-J$78</f>
        <v>-2010</v>
      </c>
      <c r="N67" t="s">
        <v>83</v>
      </c>
    </row>
    <row r="68" spans="7:21" x14ac:dyDescent="0.3">
      <c r="G68" s="28"/>
      <c r="H68" t="s">
        <v>88</v>
      </c>
      <c r="L68" s="1">
        <f>N$50</f>
        <v>0</v>
      </c>
      <c r="M68" s="5"/>
    </row>
    <row r="69" spans="7:21" x14ac:dyDescent="0.3">
      <c r="G69" s="28" t="s">
        <v>81</v>
      </c>
      <c r="H69" t="s">
        <v>96</v>
      </c>
      <c r="L69" s="1">
        <f>Q$44</f>
        <v>0</v>
      </c>
      <c r="M69" s="1">
        <f>L69-L68</f>
        <v>0</v>
      </c>
      <c r="N69" t="s">
        <v>93</v>
      </c>
    </row>
    <row r="70" spans="7:21" x14ac:dyDescent="0.3">
      <c r="G70" s="28" t="s">
        <v>81</v>
      </c>
      <c r="H70" t="s">
        <v>92</v>
      </c>
      <c r="L70" s="5">
        <f>Q$45</f>
        <v>0</v>
      </c>
      <c r="M70" s="5">
        <f>L70-J$78</f>
        <v>-2010</v>
      </c>
      <c r="N70" t="s">
        <v>83</v>
      </c>
    </row>
    <row r="71" spans="7:21" x14ac:dyDescent="0.3">
      <c r="H71" t="s">
        <v>15</v>
      </c>
      <c r="L71" s="1">
        <f>S$48</f>
        <v>0</v>
      </c>
    </row>
    <row r="72" spans="7:21" x14ac:dyDescent="0.3">
      <c r="H72" t="s">
        <v>5</v>
      </c>
      <c r="L72" s="1">
        <f>S$49</f>
        <v>0</v>
      </c>
    </row>
    <row r="73" spans="7:21" x14ac:dyDescent="0.3">
      <c r="H73" t="s">
        <v>10</v>
      </c>
      <c r="L73" s="1">
        <f>S$50</f>
        <v>0</v>
      </c>
    </row>
    <row r="74" spans="7:21" x14ac:dyDescent="0.3">
      <c r="H74" t="s">
        <v>23</v>
      </c>
      <c r="L74" s="1">
        <f>N$51</f>
        <v>0</v>
      </c>
    </row>
    <row r="75" spans="7:21" x14ac:dyDescent="0.3">
      <c r="H75" t="s">
        <v>86</v>
      </c>
    </row>
    <row r="77" spans="7:21" x14ac:dyDescent="0.3">
      <c r="J77" s="10" t="s">
        <v>12</v>
      </c>
      <c r="K77" s="13" t="s">
        <v>24</v>
      </c>
      <c r="L77" s="1"/>
      <c r="M77" s="1"/>
      <c r="N77" s="1"/>
      <c r="O77" s="1"/>
      <c r="P77" s="1"/>
      <c r="Q77" s="1"/>
      <c r="R77" s="1"/>
      <c r="S77" s="1"/>
      <c r="T77" s="1"/>
    </row>
    <row r="78" spans="7:21" x14ac:dyDescent="0.3">
      <c r="J78" s="10">
        <v>2010</v>
      </c>
      <c r="K78" s="2">
        <f>J78+1</f>
        <v>2011</v>
      </c>
      <c r="L78" s="2">
        <f t="shared" ref="L78:T78" si="6">K78+1</f>
        <v>2012</v>
      </c>
      <c r="M78" s="2">
        <f t="shared" si="6"/>
        <v>2013</v>
      </c>
      <c r="N78" s="2">
        <f t="shared" si="6"/>
        <v>2014</v>
      </c>
      <c r="O78" s="2">
        <f t="shared" si="6"/>
        <v>2015</v>
      </c>
      <c r="P78" s="2">
        <f t="shared" si="6"/>
        <v>2016</v>
      </c>
      <c r="Q78" s="2">
        <f t="shared" si="6"/>
        <v>2017</v>
      </c>
      <c r="R78" s="2">
        <f t="shared" si="6"/>
        <v>2018</v>
      </c>
      <c r="S78" s="2">
        <f t="shared" si="6"/>
        <v>2019</v>
      </c>
      <c r="T78" s="2">
        <f t="shared" si="6"/>
        <v>2020</v>
      </c>
      <c r="U78" s="2" t="s">
        <v>9</v>
      </c>
    </row>
    <row r="79" spans="7:21" x14ac:dyDescent="0.3">
      <c r="H79" t="s">
        <v>1</v>
      </c>
      <c r="J79" s="11">
        <f>[1]MMHistoricalFinancials!$B$3/1000</f>
        <v>11.46</v>
      </c>
      <c r="K79" s="4">
        <f>IF(K78&lt;$L67+1,J79*(1+$M66/$M67+$L65),J79*(1+$L66))</f>
        <v>11.46</v>
      </c>
      <c r="L79" s="4">
        <f t="shared" ref="L79:T79" si="7">IF(L78&lt;$L67+1,K79*(1+(K79-J79)/J79+$M66/$M67),K79*(1+$L66))</f>
        <v>11.46</v>
      </c>
      <c r="M79" s="4">
        <f t="shared" si="7"/>
        <v>11.46</v>
      </c>
      <c r="N79" s="4">
        <f t="shared" si="7"/>
        <v>11.46</v>
      </c>
      <c r="O79" s="4">
        <f t="shared" si="7"/>
        <v>11.46</v>
      </c>
      <c r="P79" s="4">
        <f t="shared" si="7"/>
        <v>11.46</v>
      </c>
      <c r="Q79" s="4">
        <f t="shared" si="7"/>
        <v>11.46</v>
      </c>
      <c r="R79" s="4">
        <f t="shared" si="7"/>
        <v>11.46</v>
      </c>
      <c r="S79" s="4">
        <f t="shared" si="7"/>
        <v>11.46</v>
      </c>
      <c r="T79" s="4">
        <f t="shared" si="7"/>
        <v>11.46</v>
      </c>
    </row>
    <row r="80" spans="7:21" x14ac:dyDescent="0.3">
      <c r="H80" t="s">
        <v>13</v>
      </c>
      <c r="J80" s="11">
        <f>[1]MMHistoricalFinancials!$B$4/1000</f>
        <v>8.4949999999999992</v>
      </c>
      <c r="K80" s="4">
        <f>K79-K81</f>
        <v>11.46</v>
      </c>
      <c r="L80" s="4">
        <f>L79-L81</f>
        <v>11.46</v>
      </c>
      <c r="M80" s="4">
        <f t="shared" ref="M80:T80" si="8">M79-M81</f>
        <v>11.46</v>
      </c>
      <c r="N80" s="4">
        <f t="shared" si="8"/>
        <v>11.46</v>
      </c>
      <c r="O80" s="4">
        <f t="shared" si="8"/>
        <v>11.46</v>
      </c>
      <c r="P80" s="4">
        <f t="shared" si="8"/>
        <v>11.46</v>
      </c>
      <c r="Q80" s="4">
        <f t="shared" si="8"/>
        <v>11.46</v>
      </c>
      <c r="R80" s="4">
        <f t="shared" si="8"/>
        <v>11.46</v>
      </c>
      <c r="S80" s="4">
        <f t="shared" si="8"/>
        <v>11.46</v>
      </c>
      <c r="T80" s="4">
        <f t="shared" si="8"/>
        <v>11.46</v>
      </c>
    </row>
    <row r="81" spans="8:21" x14ac:dyDescent="0.3">
      <c r="H81" t="s">
        <v>2</v>
      </c>
      <c r="J81" s="11">
        <f>J79-J80</f>
        <v>2.9650000000000016</v>
      </c>
      <c r="K81" s="4">
        <f>IF(K78&lt;$L67+1,K79*($M63/$M64+$L62),K79*$L63)</f>
        <v>0</v>
      </c>
      <c r="L81" s="4">
        <f t="shared" ref="L81:T81" si="9">IF(L78&lt;$L67+1,L79*(K81/K79+$M63/$M64),L79*$L63)</f>
        <v>0</v>
      </c>
      <c r="M81" s="4">
        <f t="shared" si="9"/>
        <v>0</v>
      </c>
      <c r="N81" s="4">
        <f t="shared" si="9"/>
        <v>0</v>
      </c>
      <c r="O81" s="4">
        <f t="shared" si="9"/>
        <v>0</v>
      </c>
      <c r="P81" s="4">
        <f t="shared" si="9"/>
        <v>0</v>
      </c>
      <c r="Q81" s="4">
        <f t="shared" si="9"/>
        <v>0</v>
      </c>
      <c r="R81" s="4">
        <f t="shared" si="9"/>
        <v>0</v>
      </c>
      <c r="S81" s="4">
        <f t="shared" si="9"/>
        <v>0</v>
      </c>
      <c r="T81" s="4">
        <f t="shared" si="9"/>
        <v>0</v>
      </c>
    </row>
    <row r="82" spans="8:21" x14ac:dyDescent="0.3">
      <c r="H82" t="s">
        <v>3</v>
      </c>
      <c r="J82" s="11">
        <f>[1]MMHistoricalFinancials!$B$7/1000</f>
        <v>1.5920000000000001</v>
      </c>
      <c r="K82" s="3">
        <f t="shared" ref="K82:T82" si="10">K79*$L74</f>
        <v>0</v>
      </c>
      <c r="L82" s="3">
        <f t="shared" si="10"/>
        <v>0</v>
      </c>
      <c r="M82" s="3">
        <f t="shared" si="10"/>
        <v>0</v>
      </c>
      <c r="N82" s="3">
        <f t="shared" si="10"/>
        <v>0</v>
      </c>
      <c r="O82" s="3">
        <f t="shared" si="10"/>
        <v>0</v>
      </c>
      <c r="P82" s="3">
        <f t="shared" si="10"/>
        <v>0</v>
      </c>
      <c r="Q82" s="3">
        <f t="shared" si="10"/>
        <v>0</v>
      </c>
      <c r="R82" s="3">
        <f t="shared" si="10"/>
        <v>0</v>
      </c>
      <c r="S82" s="3">
        <f t="shared" si="10"/>
        <v>0</v>
      </c>
      <c r="T82" s="3">
        <f t="shared" si="10"/>
        <v>0</v>
      </c>
    </row>
    <row r="83" spans="8:21" x14ac:dyDescent="0.3">
      <c r="H83" t="s">
        <v>87</v>
      </c>
      <c r="J83" s="11">
        <v>0.27800000000000002</v>
      </c>
      <c r="K83" s="3">
        <f>IF(K78&lt;$L70+1,J83*(1+$M69/$M70+$L68),J83*(1+$L69))</f>
        <v>0.27800000000000002</v>
      </c>
      <c r="L83" s="3">
        <f t="shared" ref="L83:T83" si="11">IF(L78&lt;$L70+1,K83*(1+$M69/$M70+$L68),K83*(1+$L69))</f>
        <v>0.27800000000000002</v>
      </c>
      <c r="M83" s="3">
        <f t="shared" si="11"/>
        <v>0.27800000000000002</v>
      </c>
      <c r="N83" s="3">
        <f t="shared" si="11"/>
        <v>0.27800000000000002</v>
      </c>
      <c r="O83" s="3">
        <f t="shared" si="11"/>
        <v>0.27800000000000002</v>
      </c>
      <c r="P83" s="3">
        <f t="shared" si="11"/>
        <v>0.27800000000000002</v>
      </c>
      <c r="Q83" s="3">
        <f t="shared" si="11"/>
        <v>0.27800000000000002</v>
      </c>
      <c r="R83" s="3">
        <f t="shared" si="11"/>
        <v>0.27800000000000002</v>
      </c>
      <c r="S83" s="3">
        <f t="shared" si="11"/>
        <v>0.27800000000000002</v>
      </c>
      <c r="T83" s="3">
        <f t="shared" si="11"/>
        <v>0.27800000000000002</v>
      </c>
    </row>
    <row r="84" spans="8:21" x14ac:dyDescent="0.3">
      <c r="H84" t="s">
        <v>4</v>
      </c>
      <c r="J84" s="11">
        <f>J81-J82+J83</f>
        <v>1.6510000000000016</v>
      </c>
      <c r="K84" s="4">
        <f>K81-K82+K83</f>
        <v>0.27800000000000002</v>
      </c>
      <c r="L84" s="4">
        <f t="shared" ref="L84:T84" si="12">L81-L82+L83</f>
        <v>0.27800000000000002</v>
      </c>
      <c r="M84" s="4">
        <f t="shared" si="12"/>
        <v>0.27800000000000002</v>
      </c>
      <c r="N84" s="4">
        <f t="shared" si="12"/>
        <v>0.27800000000000002</v>
      </c>
      <c r="O84" s="4">
        <f t="shared" si="12"/>
        <v>0.27800000000000002</v>
      </c>
      <c r="P84" s="4">
        <f t="shared" si="12"/>
        <v>0.27800000000000002</v>
      </c>
      <c r="Q84" s="4">
        <f t="shared" si="12"/>
        <v>0.27800000000000002</v>
      </c>
      <c r="R84" s="4">
        <f t="shared" si="12"/>
        <v>0.27800000000000002</v>
      </c>
      <c r="S84" s="4">
        <f t="shared" si="12"/>
        <v>0.27800000000000002</v>
      </c>
      <c r="T84" s="4">
        <f t="shared" si="12"/>
        <v>0.27800000000000002</v>
      </c>
    </row>
    <row r="85" spans="8:21" x14ac:dyDescent="0.3">
      <c r="H85" t="s">
        <v>6</v>
      </c>
      <c r="J85" s="12">
        <f t="shared" ref="J85:T85" si="13">J84*$L72</f>
        <v>0</v>
      </c>
      <c r="K85" s="3">
        <f t="shared" si="13"/>
        <v>0</v>
      </c>
      <c r="L85" s="3">
        <f t="shared" si="13"/>
        <v>0</v>
      </c>
      <c r="M85" s="3">
        <f t="shared" si="13"/>
        <v>0</v>
      </c>
      <c r="N85" s="3">
        <f t="shared" si="13"/>
        <v>0</v>
      </c>
      <c r="O85" s="3">
        <f t="shared" si="13"/>
        <v>0</v>
      </c>
      <c r="P85" s="3">
        <f t="shared" si="13"/>
        <v>0</v>
      </c>
      <c r="Q85" s="3">
        <f t="shared" si="13"/>
        <v>0</v>
      </c>
      <c r="R85" s="3">
        <f t="shared" si="13"/>
        <v>0</v>
      </c>
      <c r="S85" s="3">
        <f t="shared" si="13"/>
        <v>0</v>
      </c>
      <c r="T85" s="3">
        <f t="shared" si="13"/>
        <v>0</v>
      </c>
    </row>
    <row r="86" spans="8:21" x14ac:dyDescent="0.3">
      <c r="H86" t="s">
        <v>7</v>
      </c>
      <c r="J86" s="12">
        <f>J84-J85</f>
        <v>1.6510000000000016</v>
      </c>
      <c r="K86" s="3">
        <f t="shared" ref="K86:T86" si="14">K84-K85</f>
        <v>0.27800000000000002</v>
      </c>
      <c r="L86" s="3">
        <f t="shared" si="14"/>
        <v>0.27800000000000002</v>
      </c>
      <c r="M86" s="3">
        <f t="shared" si="14"/>
        <v>0.27800000000000002</v>
      </c>
      <c r="N86" s="3">
        <f t="shared" si="14"/>
        <v>0.27800000000000002</v>
      </c>
      <c r="O86" s="3">
        <f t="shared" si="14"/>
        <v>0.27800000000000002</v>
      </c>
      <c r="P86" s="3">
        <f t="shared" si="14"/>
        <v>0.27800000000000002</v>
      </c>
      <c r="Q86" s="3">
        <f t="shared" si="14"/>
        <v>0.27800000000000002</v>
      </c>
      <c r="R86" s="3">
        <f t="shared" si="14"/>
        <v>0.27800000000000002</v>
      </c>
      <c r="S86" s="3">
        <f t="shared" si="14"/>
        <v>0.27800000000000002</v>
      </c>
      <c r="T86" s="3">
        <f t="shared" si="14"/>
        <v>0.27800000000000002</v>
      </c>
      <c r="U86" s="3"/>
    </row>
    <row r="87" spans="8:21" x14ac:dyDescent="0.3">
      <c r="H87" t="s">
        <v>8</v>
      </c>
      <c r="J87" s="12"/>
      <c r="K87" s="3">
        <f t="shared" ref="K87:T87" si="15">K86/(1+$L71)^(K78-2010)</f>
        <v>0.27800000000000002</v>
      </c>
      <c r="L87" s="3">
        <f t="shared" si="15"/>
        <v>0.27800000000000002</v>
      </c>
      <c r="M87" s="3">
        <f t="shared" si="15"/>
        <v>0.27800000000000002</v>
      </c>
      <c r="N87" s="3">
        <f t="shared" si="15"/>
        <v>0.27800000000000002</v>
      </c>
      <c r="O87" s="3">
        <f t="shared" si="15"/>
        <v>0.27800000000000002</v>
      </c>
      <c r="P87" s="3">
        <f t="shared" si="15"/>
        <v>0.27800000000000002</v>
      </c>
      <c r="Q87" s="3">
        <f t="shared" si="15"/>
        <v>0.27800000000000002</v>
      </c>
      <c r="R87" s="3">
        <f t="shared" si="15"/>
        <v>0.27800000000000002</v>
      </c>
      <c r="S87" s="3">
        <f t="shared" si="15"/>
        <v>0.27800000000000002</v>
      </c>
      <c r="T87" s="3">
        <f t="shared" si="15"/>
        <v>0.27800000000000002</v>
      </c>
      <c r="U87" s="3" t="e">
        <f>T87/(L71-L73)</f>
        <v>#DIV/0!</v>
      </c>
    </row>
    <row r="89" spans="8:21" x14ac:dyDescent="0.3">
      <c r="H89" t="s">
        <v>11</v>
      </c>
      <c r="J89" s="3" t="e">
        <f>SUM(J87:U87)</f>
        <v>#DIV/0!</v>
      </c>
    </row>
    <row r="97" spans="7:21" ht="15" thickBot="1" x14ac:dyDescent="0.35">
      <c r="H97" s="6" t="s">
        <v>94</v>
      </c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</row>
    <row r="99" spans="7:21" x14ac:dyDescent="0.3">
      <c r="H99" s="2" t="s">
        <v>0</v>
      </c>
    </row>
    <row r="100" spans="7:21" x14ac:dyDescent="0.3">
      <c r="H100" t="s">
        <v>98</v>
      </c>
      <c r="L100" s="1">
        <f>N$48</f>
        <v>0</v>
      </c>
      <c r="N100" t="s">
        <v>80</v>
      </c>
    </row>
    <row r="101" spans="7:21" x14ac:dyDescent="0.3">
      <c r="G101" s="28" t="s">
        <v>81</v>
      </c>
      <c r="H101" s="29" t="s">
        <v>99</v>
      </c>
      <c r="L101" s="1">
        <f>O$36</f>
        <v>0</v>
      </c>
      <c r="M101" s="1">
        <f>L101-L100</f>
        <v>0</v>
      </c>
      <c r="N101" t="s">
        <v>82</v>
      </c>
    </row>
    <row r="102" spans="7:21" x14ac:dyDescent="0.3">
      <c r="G102" s="28" t="s">
        <v>81</v>
      </c>
      <c r="H102" s="29" t="s">
        <v>100</v>
      </c>
      <c r="L102" s="5">
        <f>O$37</f>
        <v>0</v>
      </c>
      <c r="M102" s="5">
        <f>L102-J$116</f>
        <v>-2010</v>
      </c>
      <c r="N102" t="s">
        <v>83</v>
      </c>
    </row>
    <row r="103" spans="7:21" x14ac:dyDescent="0.3">
      <c r="H103" t="s">
        <v>89</v>
      </c>
      <c r="L103" s="1">
        <f>N$49</f>
        <v>0</v>
      </c>
      <c r="N103" t="s">
        <v>84</v>
      </c>
    </row>
    <row r="104" spans="7:21" x14ac:dyDescent="0.3">
      <c r="G104" s="28" t="s">
        <v>81</v>
      </c>
      <c r="H104" t="s">
        <v>90</v>
      </c>
      <c r="L104" s="1">
        <f>O$38</f>
        <v>0</v>
      </c>
      <c r="M104" s="1">
        <f>L104-L103</f>
        <v>0</v>
      </c>
      <c r="N104" t="s">
        <v>85</v>
      </c>
    </row>
    <row r="105" spans="7:21" x14ac:dyDescent="0.3">
      <c r="G105" s="28" t="s">
        <v>81</v>
      </c>
      <c r="H105" t="s">
        <v>91</v>
      </c>
      <c r="L105" s="5">
        <f>O$39</f>
        <v>0</v>
      </c>
      <c r="M105" s="5">
        <f>L105-J$116</f>
        <v>-2010</v>
      </c>
      <c r="N105" t="s">
        <v>83</v>
      </c>
    </row>
    <row r="106" spans="7:21" x14ac:dyDescent="0.3">
      <c r="G106" s="28"/>
      <c r="H106" t="s">
        <v>88</v>
      </c>
      <c r="L106" s="1">
        <f>N$50</f>
        <v>0</v>
      </c>
      <c r="M106" s="5"/>
    </row>
    <row r="107" spans="7:21" x14ac:dyDescent="0.3">
      <c r="G107" s="28" t="s">
        <v>81</v>
      </c>
      <c r="H107" t="s">
        <v>96</v>
      </c>
      <c r="L107" s="1">
        <f>O$44</f>
        <v>0</v>
      </c>
      <c r="M107" s="1">
        <f>L107-L106</f>
        <v>0</v>
      </c>
      <c r="N107" t="s">
        <v>93</v>
      </c>
    </row>
    <row r="108" spans="7:21" x14ac:dyDescent="0.3">
      <c r="G108" s="28" t="s">
        <v>81</v>
      </c>
      <c r="H108" t="s">
        <v>92</v>
      </c>
      <c r="L108" s="5">
        <f>O$45</f>
        <v>0</v>
      </c>
      <c r="M108" s="5">
        <f>L108-J$78</f>
        <v>-2010</v>
      </c>
      <c r="N108" t="s">
        <v>83</v>
      </c>
    </row>
    <row r="109" spans="7:21" x14ac:dyDescent="0.3">
      <c r="H109" t="s">
        <v>15</v>
      </c>
      <c r="L109" s="1">
        <f>S$48</f>
        <v>0</v>
      </c>
    </row>
    <row r="110" spans="7:21" x14ac:dyDescent="0.3">
      <c r="H110" t="s">
        <v>5</v>
      </c>
      <c r="L110" s="1">
        <f>S$49</f>
        <v>0</v>
      </c>
    </row>
    <row r="111" spans="7:21" x14ac:dyDescent="0.3">
      <c r="H111" t="s">
        <v>10</v>
      </c>
      <c r="L111" s="1">
        <f>S$50</f>
        <v>0</v>
      </c>
    </row>
    <row r="112" spans="7:21" x14ac:dyDescent="0.3">
      <c r="H112" t="s">
        <v>23</v>
      </c>
      <c r="L112" s="1">
        <f>N$51</f>
        <v>0</v>
      </c>
    </row>
    <row r="113" spans="8:21" x14ac:dyDescent="0.3">
      <c r="H113" t="s">
        <v>86</v>
      </c>
    </row>
    <row r="115" spans="8:21" x14ac:dyDescent="0.3">
      <c r="J115" s="10" t="s">
        <v>12</v>
      </c>
      <c r="K115" s="13" t="s">
        <v>24</v>
      </c>
      <c r="L115" s="1"/>
      <c r="M115" s="1"/>
      <c r="N115" s="1"/>
      <c r="O115" s="1"/>
      <c r="P115" s="1"/>
      <c r="Q115" s="1"/>
      <c r="R115" s="1"/>
      <c r="S115" s="1"/>
      <c r="T115" s="1"/>
    </row>
    <row r="116" spans="8:21" x14ac:dyDescent="0.3">
      <c r="J116" s="10">
        <v>2010</v>
      </c>
      <c r="K116" s="2">
        <f>J116+1</f>
        <v>2011</v>
      </c>
      <c r="L116" s="2">
        <f t="shared" ref="L116" si="16">K116+1</f>
        <v>2012</v>
      </c>
      <c r="M116" s="2">
        <f t="shared" ref="M116" si="17">L116+1</f>
        <v>2013</v>
      </c>
      <c r="N116" s="2">
        <f t="shared" ref="N116" si="18">M116+1</f>
        <v>2014</v>
      </c>
      <c r="O116" s="2">
        <f t="shared" ref="O116" si="19">N116+1</f>
        <v>2015</v>
      </c>
      <c r="P116" s="2">
        <f t="shared" ref="P116" si="20">O116+1</f>
        <v>2016</v>
      </c>
      <c r="Q116" s="2">
        <f t="shared" ref="Q116" si="21">P116+1</f>
        <v>2017</v>
      </c>
      <c r="R116" s="2">
        <f t="shared" ref="R116" si="22">Q116+1</f>
        <v>2018</v>
      </c>
      <c r="S116" s="2">
        <f t="shared" ref="S116" si="23">R116+1</f>
        <v>2019</v>
      </c>
      <c r="T116" s="2">
        <f t="shared" ref="T116" si="24">S116+1</f>
        <v>2020</v>
      </c>
      <c r="U116" s="2" t="s">
        <v>9</v>
      </c>
    </row>
    <row r="117" spans="8:21" x14ac:dyDescent="0.3">
      <c r="H117" t="s">
        <v>1</v>
      </c>
      <c r="J117" s="11">
        <f>[1]MMHistoricalFinancials!$B$3/1000</f>
        <v>11.46</v>
      </c>
      <c r="K117" s="4">
        <f>IF(K116&lt;$L105+1,J117*(1+$M104/$M105+$L103),J117*(1+$L104))</f>
        <v>11.46</v>
      </c>
      <c r="L117" s="4">
        <f t="shared" ref="L117" si="25">IF(L116&lt;$L105+1,K117*(1+(K117-J117)/J117+$M104/$M105),K117*(1+$L104))</f>
        <v>11.46</v>
      </c>
      <c r="M117" s="4">
        <f t="shared" ref="M117" si="26">IF(M116&lt;$L105+1,L117*(1+(L117-K117)/K117+$M104/$M105),L117*(1+$L104))</f>
        <v>11.46</v>
      </c>
      <c r="N117" s="4">
        <f t="shared" ref="N117" si="27">IF(N116&lt;$L105+1,M117*(1+(M117-L117)/L117+$M104/$M105),M117*(1+$L104))</f>
        <v>11.46</v>
      </c>
      <c r="O117" s="4">
        <f t="shared" ref="O117" si="28">IF(O116&lt;$L105+1,N117*(1+(N117-M117)/M117+$M104/$M105),N117*(1+$L104))</f>
        <v>11.46</v>
      </c>
      <c r="P117" s="4">
        <f t="shared" ref="P117" si="29">IF(P116&lt;$L105+1,O117*(1+(O117-N117)/N117+$M104/$M105),O117*(1+$L104))</f>
        <v>11.46</v>
      </c>
      <c r="Q117" s="4">
        <f t="shared" ref="Q117" si="30">IF(Q116&lt;$L105+1,P117*(1+(P117-O117)/O117+$M104/$M105),P117*(1+$L104))</f>
        <v>11.46</v>
      </c>
      <c r="R117" s="4">
        <f t="shared" ref="R117" si="31">IF(R116&lt;$L105+1,Q117*(1+(Q117-P117)/P117+$M104/$M105),Q117*(1+$L104))</f>
        <v>11.46</v>
      </c>
      <c r="S117" s="4">
        <f t="shared" ref="S117" si="32">IF(S116&lt;$L105+1,R117*(1+(R117-Q117)/Q117+$M104/$M105),R117*(1+$L104))</f>
        <v>11.46</v>
      </c>
      <c r="T117" s="4">
        <f t="shared" ref="T117" si="33">IF(T116&lt;$L105+1,S117*(1+(S117-R117)/R117+$M104/$M105),S117*(1+$L104))</f>
        <v>11.46</v>
      </c>
    </row>
    <row r="118" spans="8:21" x14ac:dyDescent="0.3">
      <c r="H118" t="s">
        <v>13</v>
      </c>
      <c r="J118" s="11">
        <f>[1]MMHistoricalFinancials!$B$4/1000</f>
        <v>8.4949999999999992</v>
      </c>
      <c r="K118" s="4">
        <f>K117-K119</f>
        <v>11.46</v>
      </c>
      <c r="L118" s="4">
        <f>L117-L119</f>
        <v>11.46</v>
      </c>
      <c r="M118" s="4">
        <f t="shared" ref="M118:T118" si="34">M117-M119</f>
        <v>11.46</v>
      </c>
      <c r="N118" s="4">
        <f t="shared" si="34"/>
        <v>11.46</v>
      </c>
      <c r="O118" s="4">
        <f t="shared" si="34"/>
        <v>11.46</v>
      </c>
      <c r="P118" s="4">
        <f t="shared" si="34"/>
        <v>11.46</v>
      </c>
      <c r="Q118" s="4">
        <f t="shared" si="34"/>
        <v>11.46</v>
      </c>
      <c r="R118" s="4">
        <f t="shared" si="34"/>
        <v>11.46</v>
      </c>
      <c r="S118" s="4">
        <f t="shared" si="34"/>
        <v>11.46</v>
      </c>
      <c r="T118" s="4">
        <f t="shared" si="34"/>
        <v>11.46</v>
      </c>
    </row>
    <row r="119" spans="8:21" x14ac:dyDescent="0.3">
      <c r="H119" t="s">
        <v>2</v>
      </c>
      <c r="J119" s="11">
        <f>J117-J118</f>
        <v>2.9650000000000016</v>
      </c>
      <c r="K119" s="4">
        <f>IF(K116&lt;$L105+1,K117*($M101/$M102+$L100),K117*$L101)</f>
        <v>0</v>
      </c>
      <c r="L119" s="4">
        <f t="shared" ref="L119" si="35">IF(L116&lt;$L105+1,L117*(K119/K117+$M101/$M102),L117*$L101)</f>
        <v>0</v>
      </c>
      <c r="M119" s="4">
        <f t="shared" ref="M119" si="36">IF(M116&lt;$L105+1,M117*(L119/L117+$M101/$M102),M117*$L101)</f>
        <v>0</v>
      </c>
      <c r="N119" s="4">
        <f t="shared" ref="N119" si="37">IF(N116&lt;$L105+1,N117*(M119/M117+$M101/$M102),N117*$L101)</f>
        <v>0</v>
      </c>
      <c r="O119" s="4">
        <f t="shared" ref="O119" si="38">IF(O116&lt;$L105+1,O117*(N119/N117+$M101/$M102),O117*$L101)</f>
        <v>0</v>
      </c>
      <c r="P119" s="4">
        <f t="shared" ref="P119" si="39">IF(P116&lt;$L105+1,P117*(O119/O117+$M101/$M102),P117*$L101)</f>
        <v>0</v>
      </c>
      <c r="Q119" s="4">
        <f t="shared" ref="Q119" si="40">IF(Q116&lt;$L105+1,Q117*(P119/P117+$M101/$M102),Q117*$L101)</f>
        <v>0</v>
      </c>
      <c r="R119" s="4">
        <f t="shared" ref="R119" si="41">IF(R116&lt;$L105+1,R117*(Q119/Q117+$M101/$M102),R117*$L101)</f>
        <v>0</v>
      </c>
      <c r="S119" s="4">
        <f t="shared" ref="S119" si="42">IF(S116&lt;$L105+1,S117*(R119/R117+$M101/$M102),S117*$L101)</f>
        <v>0</v>
      </c>
      <c r="T119" s="4">
        <f t="shared" ref="T119" si="43">IF(T116&lt;$L105+1,T117*(S119/S117+$M101/$M102),T117*$L101)</f>
        <v>0</v>
      </c>
    </row>
    <row r="120" spans="8:21" x14ac:dyDescent="0.3">
      <c r="H120" t="s">
        <v>3</v>
      </c>
      <c r="J120" s="11">
        <f>[1]MMHistoricalFinancials!$B$7/1000</f>
        <v>1.5920000000000001</v>
      </c>
      <c r="K120" s="3">
        <f t="shared" ref="K120:T120" si="44">K117*$L112</f>
        <v>0</v>
      </c>
      <c r="L120" s="3">
        <f t="shared" si="44"/>
        <v>0</v>
      </c>
      <c r="M120" s="3">
        <f t="shared" si="44"/>
        <v>0</v>
      </c>
      <c r="N120" s="3">
        <f t="shared" si="44"/>
        <v>0</v>
      </c>
      <c r="O120" s="3">
        <f t="shared" si="44"/>
        <v>0</v>
      </c>
      <c r="P120" s="3">
        <f t="shared" si="44"/>
        <v>0</v>
      </c>
      <c r="Q120" s="3">
        <f t="shared" si="44"/>
        <v>0</v>
      </c>
      <c r="R120" s="3">
        <f t="shared" si="44"/>
        <v>0</v>
      </c>
      <c r="S120" s="3">
        <f t="shared" si="44"/>
        <v>0</v>
      </c>
      <c r="T120" s="3">
        <f t="shared" si="44"/>
        <v>0</v>
      </c>
    </row>
    <row r="121" spans="8:21" x14ac:dyDescent="0.3">
      <c r="H121" t="s">
        <v>87</v>
      </c>
      <c r="J121" s="11">
        <v>0.27800000000000002</v>
      </c>
      <c r="K121" s="3">
        <f>IF(K116&lt;$L108+1,J121*(1+$M107/$M108+$L106),J121*(1+$L107))</f>
        <v>0.27800000000000002</v>
      </c>
      <c r="L121" s="3">
        <f t="shared" ref="L121:T121" si="45">IF(L116&lt;$L108+1,K121*(1+$M107/$M108+$L106),K121*(1+$L107))</f>
        <v>0.27800000000000002</v>
      </c>
      <c r="M121" s="3">
        <f t="shared" si="45"/>
        <v>0.27800000000000002</v>
      </c>
      <c r="N121" s="3">
        <f t="shared" si="45"/>
        <v>0.27800000000000002</v>
      </c>
      <c r="O121" s="3">
        <f t="shared" si="45"/>
        <v>0.27800000000000002</v>
      </c>
      <c r="P121" s="3">
        <f t="shared" si="45"/>
        <v>0.27800000000000002</v>
      </c>
      <c r="Q121" s="3">
        <f t="shared" si="45"/>
        <v>0.27800000000000002</v>
      </c>
      <c r="R121" s="3">
        <f t="shared" si="45"/>
        <v>0.27800000000000002</v>
      </c>
      <c r="S121" s="3">
        <f t="shared" si="45"/>
        <v>0.27800000000000002</v>
      </c>
      <c r="T121" s="3">
        <f t="shared" si="45"/>
        <v>0.27800000000000002</v>
      </c>
    </row>
    <row r="122" spans="8:21" x14ac:dyDescent="0.3">
      <c r="H122" t="s">
        <v>4</v>
      </c>
      <c r="J122" s="11">
        <f>J119-J120+J121</f>
        <v>1.6510000000000016</v>
      </c>
      <c r="K122" s="4">
        <f>K119-K120+K121</f>
        <v>0.27800000000000002</v>
      </c>
      <c r="L122" s="4">
        <f t="shared" ref="L122" si="46">L119-L120+L121</f>
        <v>0.27800000000000002</v>
      </c>
      <c r="M122" s="4">
        <f t="shared" ref="M122" si="47">M119-M120+M121</f>
        <v>0.27800000000000002</v>
      </c>
      <c r="N122" s="4">
        <f t="shared" ref="N122" si="48">N119-N120+N121</f>
        <v>0.27800000000000002</v>
      </c>
      <c r="O122" s="4">
        <f t="shared" ref="O122" si="49">O119-O120+O121</f>
        <v>0.27800000000000002</v>
      </c>
      <c r="P122" s="4">
        <f t="shared" ref="P122" si="50">P119-P120+P121</f>
        <v>0.27800000000000002</v>
      </c>
      <c r="Q122" s="4">
        <f t="shared" ref="Q122" si="51">Q119-Q120+Q121</f>
        <v>0.27800000000000002</v>
      </c>
      <c r="R122" s="4">
        <f t="shared" ref="R122" si="52">R119-R120+R121</f>
        <v>0.27800000000000002</v>
      </c>
      <c r="S122" s="4">
        <f t="shared" ref="S122" si="53">S119-S120+S121</f>
        <v>0.27800000000000002</v>
      </c>
      <c r="T122" s="4">
        <f t="shared" ref="T122" si="54">T119-T120+T121</f>
        <v>0.27800000000000002</v>
      </c>
    </row>
    <row r="123" spans="8:21" x14ac:dyDescent="0.3">
      <c r="H123" t="s">
        <v>6</v>
      </c>
      <c r="J123" s="12">
        <f t="shared" ref="J123:T123" si="55">J122*$L110</f>
        <v>0</v>
      </c>
      <c r="K123" s="3">
        <f t="shared" si="55"/>
        <v>0</v>
      </c>
      <c r="L123" s="3">
        <f t="shared" si="55"/>
        <v>0</v>
      </c>
      <c r="M123" s="3">
        <f t="shared" si="55"/>
        <v>0</v>
      </c>
      <c r="N123" s="3">
        <f t="shared" si="55"/>
        <v>0</v>
      </c>
      <c r="O123" s="3">
        <f t="shared" si="55"/>
        <v>0</v>
      </c>
      <c r="P123" s="3">
        <f t="shared" si="55"/>
        <v>0</v>
      </c>
      <c r="Q123" s="3">
        <f t="shared" si="55"/>
        <v>0</v>
      </c>
      <c r="R123" s="3">
        <f t="shared" si="55"/>
        <v>0</v>
      </c>
      <c r="S123" s="3">
        <f t="shared" si="55"/>
        <v>0</v>
      </c>
      <c r="T123" s="3">
        <f t="shared" si="55"/>
        <v>0</v>
      </c>
    </row>
    <row r="124" spans="8:21" x14ac:dyDescent="0.3">
      <c r="H124" t="s">
        <v>7</v>
      </c>
      <c r="J124" s="12">
        <f>J122-J123</f>
        <v>1.6510000000000016</v>
      </c>
      <c r="K124" s="3">
        <f t="shared" ref="K124:T124" si="56">K122-K123</f>
        <v>0.27800000000000002</v>
      </c>
      <c r="L124" s="3">
        <f t="shared" si="56"/>
        <v>0.27800000000000002</v>
      </c>
      <c r="M124" s="3">
        <f t="shared" si="56"/>
        <v>0.27800000000000002</v>
      </c>
      <c r="N124" s="3">
        <f t="shared" si="56"/>
        <v>0.27800000000000002</v>
      </c>
      <c r="O124" s="3">
        <f t="shared" si="56"/>
        <v>0.27800000000000002</v>
      </c>
      <c r="P124" s="3">
        <f t="shared" si="56"/>
        <v>0.27800000000000002</v>
      </c>
      <c r="Q124" s="3">
        <f t="shared" si="56"/>
        <v>0.27800000000000002</v>
      </c>
      <c r="R124" s="3">
        <f t="shared" si="56"/>
        <v>0.27800000000000002</v>
      </c>
      <c r="S124" s="3">
        <f t="shared" si="56"/>
        <v>0.27800000000000002</v>
      </c>
      <c r="T124" s="3">
        <f t="shared" si="56"/>
        <v>0.27800000000000002</v>
      </c>
      <c r="U124" s="3"/>
    </row>
    <row r="125" spans="8:21" x14ac:dyDescent="0.3">
      <c r="H125" t="s">
        <v>8</v>
      </c>
      <c r="J125" s="12"/>
      <c r="K125" s="3">
        <f t="shared" ref="K125:T125" si="57">K124/(1+$L109)^(K116-2010)</f>
        <v>0.27800000000000002</v>
      </c>
      <c r="L125" s="3">
        <f t="shared" si="57"/>
        <v>0.27800000000000002</v>
      </c>
      <c r="M125" s="3">
        <f t="shared" si="57"/>
        <v>0.27800000000000002</v>
      </c>
      <c r="N125" s="3">
        <f t="shared" si="57"/>
        <v>0.27800000000000002</v>
      </c>
      <c r="O125" s="3">
        <f t="shared" si="57"/>
        <v>0.27800000000000002</v>
      </c>
      <c r="P125" s="3">
        <f t="shared" si="57"/>
        <v>0.27800000000000002</v>
      </c>
      <c r="Q125" s="3">
        <f t="shared" si="57"/>
        <v>0.27800000000000002</v>
      </c>
      <c r="R125" s="3">
        <f t="shared" si="57"/>
        <v>0.27800000000000002</v>
      </c>
      <c r="S125" s="3">
        <f t="shared" si="57"/>
        <v>0.27800000000000002</v>
      </c>
      <c r="T125" s="3">
        <f t="shared" si="57"/>
        <v>0.27800000000000002</v>
      </c>
      <c r="U125" s="3" t="e">
        <f>T125/(L109-L111)</f>
        <v>#DIV/0!</v>
      </c>
    </row>
    <row r="127" spans="8:21" x14ac:dyDescent="0.3">
      <c r="H127" t="s">
        <v>11</v>
      </c>
      <c r="J127" s="3" t="e">
        <f>SUM(J125:U125)</f>
        <v>#DIV/0!</v>
      </c>
    </row>
    <row r="132" spans="7:21" ht="15" thickBot="1" x14ac:dyDescent="0.35">
      <c r="H132" s="6" t="s">
        <v>97</v>
      </c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</row>
    <row r="134" spans="7:21" x14ac:dyDescent="0.3">
      <c r="H134" s="2" t="s">
        <v>0</v>
      </c>
    </row>
    <row r="135" spans="7:21" x14ac:dyDescent="0.3">
      <c r="H135" t="s">
        <v>98</v>
      </c>
      <c r="L135" s="1">
        <v>0.25900000000000001</v>
      </c>
      <c r="N135" t="s">
        <v>80</v>
      </c>
    </row>
    <row r="136" spans="7:21" x14ac:dyDescent="0.3">
      <c r="G136" s="28" t="s">
        <v>81</v>
      </c>
      <c r="H136" s="29" t="s">
        <v>99</v>
      </c>
      <c r="L136" s="1">
        <v>0.35</v>
      </c>
      <c r="M136" s="1">
        <f>L136-L135</f>
        <v>9.099999999999997E-2</v>
      </c>
      <c r="N136" t="s">
        <v>82</v>
      </c>
    </row>
    <row r="137" spans="7:21" x14ac:dyDescent="0.3">
      <c r="G137" s="28" t="s">
        <v>81</v>
      </c>
      <c r="H137" s="29" t="s">
        <v>100</v>
      </c>
      <c r="L137" s="5">
        <v>2020</v>
      </c>
      <c r="M137" s="5">
        <f>L137-J$116</f>
        <v>10</v>
      </c>
      <c r="N137" t="s">
        <v>83</v>
      </c>
    </row>
    <row r="138" spans="7:21" x14ac:dyDescent="0.3">
      <c r="H138" t="s">
        <v>89</v>
      </c>
      <c r="L138" s="1">
        <v>0.03</v>
      </c>
      <c r="N138" t="s">
        <v>84</v>
      </c>
    </row>
    <row r="139" spans="7:21" x14ac:dyDescent="0.3">
      <c r="G139" s="28" t="s">
        <v>81</v>
      </c>
      <c r="H139" t="s">
        <v>90</v>
      </c>
      <c r="L139" s="1">
        <v>0.08</v>
      </c>
      <c r="M139" s="1">
        <f>L139-L138</f>
        <v>0.05</v>
      </c>
      <c r="N139" t="s">
        <v>85</v>
      </c>
    </row>
    <row r="140" spans="7:21" x14ac:dyDescent="0.3">
      <c r="G140" s="28" t="s">
        <v>81</v>
      </c>
      <c r="H140" t="s">
        <v>91</v>
      </c>
      <c r="L140" s="5">
        <v>2016</v>
      </c>
      <c r="M140" s="5">
        <f>L140-J$116</f>
        <v>6</v>
      </c>
      <c r="N140" t="s">
        <v>83</v>
      </c>
    </row>
    <row r="141" spans="7:21" x14ac:dyDescent="0.3">
      <c r="G141" s="28"/>
      <c r="H141" t="s">
        <v>88</v>
      </c>
      <c r="L141" s="1">
        <f>N$50</f>
        <v>0</v>
      </c>
      <c r="M141" s="5"/>
    </row>
    <row r="142" spans="7:21" x14ac:dyDescent="0.3">
      <c r="G142" s="28" t="s">
        <v>81</v>
      </c>
      <c r="H142" t="s">
        <v>96</v>
      </c>
      <c r="L142" s="1">
        <f>P$44</f>
        <v>0</v>
      </c>
      <c r="M142" s="1">
        <f>L142-L141</f>
        <v>0</v>
      </c>
      <c r="N142" t="s">
        <v>93</v>
      </c>
    </row>
    <row r="143" spans="7:21" x14ac:dyDescent="0.3">
      <c r="G143" s="28" t="s">
        <v>81</v>
      </c>
      <c r="H143" t="s">
        <v>92</v>
      </c>
      <c r="L143" s="5">
        <f>P$45</f>
        <v>0</v>
      </c>
      <c r="M143" s="5">
        <f>L143-J$78</f>
        <v>-2010</v>
      </c>
      <c r="N143" t="s">
        <v>83</v>
      </c>
    </row>
    <row r="144" spans="7:21" x14ac:dyDescent="0.3">
      <c r="H144" t="s">
        <v>15</v>
      </c>
      <c r="L144" s="1">
        <f>S$48</f>
        <v>0</v>
      </c>
    </row>
    <row r="145" spans="8:21" x14ac:dyDescent="0.3">
      <c r="H145" t="s">
        <v>5</v>
      </c>
      <c r="L145" s="1">
        <f>S$49</f>
        <v>0</v>
      </c>
    </row>
    <row r="146" spans="8:21" x14ac:dyDescent="0.3">
      <c r="H146" t="s">
        <v>10</v>
      </c>
      <c r="L146" s="1">
        <f>S$50</f>
        <v>0</v>
      </c>
    </row>
    <row r="147" spans="8:21" x14ac:dyDescent="0.3">
      <c r="H147" t="s">
        <v>23</v>
      </c>
      <c r="L147" s="1">
        <f>N$51</f>
        <v>0</v>
      </c>
    </row>
    <row r="148" spans="8:21" x14ac:dyDescent="0.3">
      <c r="H148" t="s">
        <v>86</v>
      </c>
    </row>
    <row r="150" spans="8:21" x14ac:dyDescent="0.3">
      <c r="J150" s="10" t="s">
        <v>12</v>
      </c>
      <c r="K150" s="13" t="s">
        <v>24</v>
      </c>
      <c r="L150" s="1"/>
      <c r="M150" s="1"/>
      <c r="N150" s="1"/>
      <c r="O150" s="1"/>
      <c r="P150" s="1"/>
      <c r="Q150" s="1"/>
      <c r="R150" s="1"/>
      <c r="S150" s="1"/>
      <c r="T150" s="1"/>
    </row>
    <row r="151" spans="8:21" x14ac:dyDescent="0.3">
      <c r="J151" s="10">
        <v>2010</v>
      </c>
      <c r="K151" s="2">
        <f>J151+1</f>
        <v>2011</v>
      </c>
      <c r="L151" s="2">
        <f t="shared" ref="L151" si="58">K151+1</f>
        <v>2012</v>
      </c>
      <c r="M151" s="2">
        <f t="shared" ref="M151" si="59">L151+1</f>
        <v>2013</v>
      </c>
      <c r="N151" s="2">
        <f t="shared" ref="N151" si="60">M151+1</f>
        <v>2014</v>
      </c>
      <c r="O151" s="2">
        <f t="shared" ref="O151" si="61">N151+1</f>
        <v>2015</v>
      </c>
      <c r="P151" s="2">
        <f t="shared" ref="P151" si="62">O151+1</f>
        <v>2016</v>
      </c>
      <c r="Q151" s="2">
        <f t="shared" ref="Q151" si="63">P151+1</f>
        <v>2017</v>
      </c>
      <c r="R151" s="2">
        <f t="shared" ref="R151" si="64">Q151+1</f>
        <v>2018</v>
      </c>
      <c r="S151" s="2">
        <f t="shared" ref="S151" si="65">R151+1</f>
        <v>2019</v>
      </c>
      <c r="T151" s="2">
        <f t="shared" ref="T151" si="66">S151+1</f>
        <v>2020</v>
      </c>
      <c r="U151" s="2" t="s">
        <v>9</v>
      </c>
    </row>
    <row r="152" spans="8:21" x14ac:dyDescent="0.3">
      <c r="H152" t="s">
        <v>1</v>
      </c>
      <c r="J152" s="11">
        <f>[1]MMHistoricalFinancials!$B$3/1000</f>
        <v>11.46</v>
      </c>
      <c r="K152" s="4">
        <f>IF(K151&lt;$L140+1,J152*(1+$M139/$M140+$L138),J152*(1+$L139))</f>
        <v>11.8993</v>
      </c>
      <c r="L152" s="4">
        <f t="shared" ref="L152" si="67">IF(L151&lt;$L140+1,K152*(1+(K152-J152)/J152+$M139/$M140),K152*(1+$L139))</f>
        <v>12.454600666666666</v>
      </c>
      <c r="M152" s="4">
        <f t="shared" ref="M152" si="68">IF(M151&lt;$L140+1,L152*(1+(L152-K152)/K152+$M139/$M140),L152*(1+$L139))</f>
        <v>13.139603703333332</v>
      </c>
      <c r="N152" s="4">
        <f t="shared" ref="N152" si="69">IF(N151&lt;$L140+1,M152*(1+(M152-L152)/L152+$M139/$M140),M152*(1+$L139))</f>
        <v>13.971778604544442</v>
      </c>
      <c r="O152" s="4">
        <f t="shared" ref="O152" si="70">IF(O151&lt;$L140+1,N152*(1+(N152-M152)/M152+$M139/$M140),N152*(1+$L139))</f>
        <v>14.973089404536791</v>
      </c>
      <c r="P152" s="4">
        <f t="shared" ref="P152" si="71">IF(P151&lt;$L140+1,O152*(1+(O152-N152)/N152+$M139/$M140),O152*(1+$L139))</f>
        <v>16.170936556899733</v>
      </c>
      <c r="Q152" s="4">
        <f t="shared" ref="Q152" si="72">IF(Q151&lt;$L140+1,P152*(1+(P152-O152)/O152+$M139/$M140),P152*(1+$L139))</f>
        <v>17.464611481451712</v>
      </c>
      <c r="R152" s="4">
        <f t="shared" ref="R152" si="73">IF(R151&lt;$L140+1,Q152*(1+(Q152-P152)/P152+$M139/$M140),Q152*(1+$L139))</f>
        <v>18.861780399967849</v>
      </c>
      <c r="S152" s="4">
        <f t="shared" ref="S152" si="74">IF(S151&lt;$L140+1,R152*(1+(R152-Q152)/Q152+$M139/$M140),R152*(1+$L139))</f>
        <v>20.370722831965278</v>
      </c>
      <c r="T152" s="4">
        <f t="shared" ref="T152" si="75">IF(T151&lt;$L140+1,S152*(1+(S152-R152)/R152+$M139/$M140),S152*(1+$L139))</f>
        <v>22.000380658522502</v>
      </c>
    </row>
    <row r="153" spans="8:21" x14ac:dyDescent="0.3">
      <c r="H153" t="s">
        <v>13</v>
      </c>
      <c r="J153" s="11">
        <f>[1]MMHistoricalFinancials!$B$4/1000</f>
        <v>8.4949999999999992</v>
      </c>
      <c r="K153" s="4">
        <f>K152-K154</f>
        <v>8.7090976700000002</v>
      </c>
      <c r="L153" s="4">
        <f>L152-L154</f>
        <v>9.0021853618666654</v>
      </c>
      <c r="M153" s="4">
        <f t="shared" ref="M153:T153" si="76">M152-M154</f>
        <v>9.3777351630689996</v>
      </c>
      <c r="N153" s="4">
        <f t="shared" si="76"/>
        <v>9.8445152047620148</v>
      </c>
      <c r="O153" s="4">
        <f t="shared" si="76"/>
        <v>10.413783680855339</v>
      </c>
      <c r="P153" s="4">
        <f t="shared" si="76"/>
        <v>11.099730852655977</v>
      </c>
      <c r="Q153" s="4">
        <f t="shared" si="76"/>
        <v>11.351997462943613</v>
      </c>
      <c r="R153" s="4">
        <f t="shared" si="76"/>
        <v>12.260157259979103</v>
      </c>
      <c r="S153" s="4">
        <f t="shared" si="76"/>
        <v>13.240969840777431</v>
      </c>
      <c r="T153" s="4">
        <f t="shared" si="76"/>
        <v>14.300247428039626</v>
      </c>
    </row>
    <row r="154" spans="8:21" x14ac:dyDescent="0.3">
      <c r="H154" t="s">
        <v>2</v>
      </c>
      <c r="J154" s="11">
        <f>J152-J153</f>
        <v>2.9650000000000016</v>
      </c>
      <c r="K154" s="4">
        <f>IF(K151&lt;$L140+1,K152*($M136/$M137+$L135),K152*$L136)</f>
        <v>3.19020233</v>
      </c>
      <c r="L154" s="4">
        <f t="shared" ref="L154" si="77">IF(L151&lt;$L140+1,L152*(K154/K152+$M136/$M137),L152*$L136)</f>
        <v>3.4524153047999997</v>
      </c>
      <c r="M154" s="4">
        <f t="shared" ref="M154" si="78">IF(M151&lt;$L140+1,M152*(L154/L152+$M136/$M137),M152*$L136)</f>
        <v>3.761868540264333</v>
      </c>
      <c r="N154" s="4">
        <f t="shared" ref="N154" si="79">IF(N151&lt;$L140+1,N152*(M154/M152+$M136/$M137),N152*$L136)</f>
        <v>4.1272633997824277</v>
      </c>
      <c r="O154" s="4">
        <f t="shared" ref="O154" si="80">IF(O151&lt;$L140+1,O152*(N154/N152+$M136/$M137),O152*$L136)</f>
        <v>4.5593057236814527</v>
      </c>
      <c r="P154" s="4">
        <f t="shared" ref="P154" si="81">IF(P151&lt;$L140+1,P152*(O154/O152+$M136/$M137),P152*$L136)</f>
        <v>5.0712057042437557</v>
      </c>
      <c r="Q154" s="4">
        <f t="shared" ref="Q154" si="82">IF(Q151&lt;$L140+1,Q152*(P154/P152+$M136/$M137),Q152*$L136)</f>
        <v>6.1126140185080988</v>
      </c>
      <c r="R154" s="4">
        <f t="shared" ref="R154" si="83">IF(R151&lt;$L140+1,R152*(Q154/Q152+$M136/$M137),R152*$L136)</f>
        <v>6.6016231399887468</v>
      </c>
      <c r="S154" s="4">
        <f t="shared" ref="S154" si="84">IF(S151&lt;$L140+1,S152*(R154/R152+$M136/$M137),S152*$L136)</f>
        <v>7.1297529911878463</v>
      </c>
      <c r="T154" s="4">
        <f t="shared" ref="T154" si="85">IF(T151&lt;$L140+1,T152*(S154/S152+$M136/$M137),T152*$L136)</f>
        <v>7.7001332304828756</v>
      </c>
    </row>
    <row r="155" spans="8:21" x14ac:dyDescent="0.3">
      <c r="H155" t="s">
        <v>3</v>
      </c>
      <c r="J155" s="11">
        <f>[1]MMHistoricalFinancials!$B$7/1000</f>
        <v>1.5920000000000001</v>
      </c>
      <c r="K155" s="3">
        <f t="shared" ref="K155:T155" si="86">K152*$L147</f>
        <v>0</v>
      </c>
      <c r="L155" s="3">
        <f t="shared" si="86"/>
        <v>0</v>
      </c>
      <c r="M155" s="3">
        <f t="shared" si="86"/>
        <v>0</v>
      </c>
      <c r="N155" s="3">
        <f t="shared" si="86"/>
        <v>0</v>
      </c>
      <c r="O155" s="3">
        <f t="shared" si="86"/>
        <v>0</v>
      </c>
      <c r="P155" s="3">
        <f t="shared" si="86"/>
        <v>0</v>
      </c>
      <c r="Q155" s="3">
        <f t="shared" si="86"/>
        <v>0</v>
      </c>
      <c r="R155" s="3">
        <f t="shared" si="86"/>
        <v>0</v>
      </c>
      <c r="S155" s="3">
        <f t="shared" si="86"/>
        <v>0</v>
      </c>
      <c r="T155" s="3">
        <f t="shared" si="86"/>
        <v>0</v>
      </c>
    </row>
    <row r="156" spans="8:21" x14ac:dyDescent="0.3">
      <c r="H156" t="s">
        <v>87</v>
      </c>
      <c r="J156" s="11">
        <v>0.27800000000000002</v>
      </c>
      <c r="K156" s="3">
        <f>IF(K151&lt;$L143+1,J156*(1+$M142/$M143+$L141),J156*(1+$L142))</f>
        <v>0.27800000000000002</v>
      </c>
      <c r="L156" s="3">
        <f t="shared" ref="L156:T156" si="87">IF(L151&lt;$L143+1,K156*(1+$M142/$M143+$L141),K156*(1+$L142))</f>
        <v>0.27800000000000002</v>
      </c>
      <c r="M156" s="3">
        <f t="shared" si="87"/>
        <v>0.27800000000000002</v>
      </c>
      <c r="N156" s="3">
        <f t="shared" si="87"/>
        <v>0.27800000000000002</v>
      </c>
      <c r="O156" s="3">
        <f t="shared" si="87"/>
        <v>0.27800000000000002</v>
      </c>
      <c r="P156" s="3">
        <f t="shared" si="87"/>
        <v>0.27800000000000002</v>
      </c>
      <c r="Q156" s="3">
        <f t="shared" si="87"/>
        <v>0.27800000000000002</v>
      </c>
      <c r="R156" s="3">
        <f t="shared" si="87"/>
        <v>0.27800000000000002</v>
      </c>
      <c r="S156" s="3">
        <f t="shared" si="87"/>
        <v>0.27800000000000002</v>
      </c>
      <c r="T156" s="3">
        <f t="shared" si="87"/>
        <v>0.27800000000000002</v>
      </c>
    </row>
    <row r="157" spans="8:21" x14ac:dyDescent="0.3">
      <c r="H157" t="s">
        <v>4</v>
      </c>
      <c r="J157" s="11">
        <f>J154-J155+J156</f>
        <v>1.6510000000000016</v>
      </c>
      <c r="K157" s="4">
        <f>K154-K155+K156</f>
        <v>3.46820233</v>
      </c>
      <c r="L157" s="4">
        <f t="shared" ref="L157" si="88">L154-L155+L156</f>
        <v>3.7304153047999997</v>
      </c>
      <c r="M157" s="4">
        <f t="shared" ref="M157" si="89">M154-M155+M156</f>
        <v>4.0398685402643331</v>
      </c>
      <c r="N157" s="4">
        <f t="shared" ref="N157" si="90">N154-N155+N156</f>
        <v>4.4052633997824273</v>
      </c>
      <c r="O157" s="4">
        <f t="shared" ref="O157" si="91">O154-O155+O156</f>
        <v>4.8373057236814532</v>
      </c>
      <c r="P157" s="4">
        <f t="shared" ref="P157" si="92">P154-P155+P156</f>
        <v>5.3492057042437562</v>
      </c>
      <c r="Q157" s="4">
        <f t="shared" ref="Q157" si="93">Q154-Q155+Q156</f>
        <v>6.3906140185080993</v>
      </c>
      <c r="R157" s="4">
        <f t="shared" ref="R157" si="94">R154-R155+R156</f>
        <v>6.8796231399887464</v>
      </c>
      <c r="S157" s="4">
        <f t="shared" ref="S157" si="95">S154-S155+S156</f>
        <v>7.4077529911878468</v>
      </c>
      <c r="T157" s="4">
        <f t="shared" ref="T157" si="96">T154-T155+T156</f>
        <v>7.9781332304828751</v>
      </c>
    </row>
    <row r="158" spans="8:21" x14ac:dyDescent="0.3">
      <c r="H158" t="s">
        <v>6</v>
      </c>
      <c r="J158" s="12">
        <f t="shared" ref="J158:T158" si="97">J157*$L145</f>
        <v>0</v>
      </c>
      <c r="K158" s="3">
        <f t="shared" si="97"/>
        <v>0</v>
      </c>
      <c r="L158" s="3">
        <f t="shared" si="97"/>
        <v>0</v>
      </c>
      <c r="M158" s="3">
        <f t="shared" si="97"/>
        <v>0</v>
      </c>
      <c r="N158" s="3">
        <f t="shared" si="97"/>
        <v>0</v>
      </c>
      <c r="O158" s="3">
        <f t="shared" si="97"/>
        <v>0</v>
      </c>
      <c r="P158" s="3">
        <f t="shared" si="97"/>
        <v>0</v>
      </c>
      <c r="Q158" s="3">
        <f t="shared" si="97"/>
        <v>0</v>
      </c>
      <c r="R158" s="3">
        <f t="shared" si="97"/>
        <v>0</v>
      </c>
      <c r="S158" s="3">
        <f t="shared" si="97"/>
        <v>0</v>
      </c>
      <c r="T158" s="3">
        <f t="shared" si="97"/>
        <v>0</v>
      </c>
    </row>
    <row r="159" spans="8:21" x14ac:dyDescent="0.3">
      <c r="H159" t="s">
        <v>7</v>
      </c>
      <c r="J159" s="12">
        <f>J157-J158</f>
        <v>1.6510000000000016</v>
      </c>
      <c r="K159" s="3">
        <f t="shared" ref="K159:T159" si="98">K157-K158</f>
        <v>3.46820233</v>
      </c>
      <c r="L159" s="3">
        <f t="shared" si="98"/>
        <v>3.7304153047999997</v>
      </c>
      <c r="M159" s="3">
        <f t="shared" si="98"/>
        <v>4.0398685402643331</v>
      </c>
      <c r="N159" s="3">
        <f t="shared" si="98"/>
        <v>4.4052633997824273</v>
      </c>
      <c r="O159" s="3">
        <f t="shared" si="98"/>
        <v>4.8373057236814532</v>
      </c>
      <c r="P159" s="3">
        <f t="shared" si="98"/>
        <v>5.3492057042437562</v>
      </c>
      <c r="Q159" s="3">
        <f t="shared" si="98"/>
        <v>6.3906140185080993</v>
      </c>
      <c r="R159" s="3">
        <f t="shared" si="98"/>
        <v>6.8796231399887464</v>
      </c>
      <c r="S159" s="3">
        <f t="shared" si="98"/>
        <v>7.4077529911878468</v>
      </c>
      <c r="T159" s="3">
        <f t="shared" si="98"/>
        <v>7.9781332304828751</v>
      </c>
      <c r="U159" s="3"/>
    </row>
    <row r="160" spans="8:21" x14ac:dyDescent="0.3">
      <c r="H160" t="s">
        <v>8</v>
      </c>
      <c r="J160" s="12"/>
      <c r="K160" s="3">
        <f t="shared" ref="K160:T160" si="99">K159/(1+$L144)^(K151-2010)</f>
        <v>3.46820233</v>
      </c>
      <c r="L160" s="3">
        <f t="shared" si="99"/>
        <v>3.7304153047999997</v>
      </c>
      <c r="M160" s="3">
        <f t="shared" si="99"/>
        <v>4.0398685402643331</v>
      </c>
      <c r="N160" s="3">
        <f t="shared" si="99"/>
        <v>4.4052633997824273</v>
      </c>
      <c r="O160" s="3">
        <f t="shared" si="99"/>
        <v>4.8373057236814532</v>
      </c>
      <c r="P160" s="3">
        <f t="shared" si="99"/>
        <v>5.3492057042437562</v>
      </c>
      <c r="Q160" s="3">
        <f t="shared" si="99"/>
        <v>6.3906140185080993</v>
      </c>
      <c r="R160" s="3">
        <f t="shared" si="99"/>
        <v>6.8796231399887464</v>
      </c>
      <c r="S160" s="3">
        <f t="shared" si="99"/>
        <v>7.4077529911878468</v>
      </c>
      <c r="T160" s="3">
        <f t="shared" si="99"/>
        <v>7.9781332304828751</v>
      </c>
      <c r="U160" s="3" t="e">
        <f>T160/(L144-L146)</f>
        <v>#DIV/0!</v>
      </c>
    </row>
    <row r="162" spans="7:21" x14ac:dyDescent="0.3">
      <c r="H162" t="s">
        <v>11</v>
      </c>
      <c r="J162" s="3" t="e">
        <f>SUM(J160:U160)</f>
        <v>#DIV/0!</v>
      </c>
    </row>
    <row r="166" spans="7:21" ht="15" thickBot="1" x14ac:dyDescent="0.35">
      <c r="H166" s="6" t="s">
        <v>101</v>
      </c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</row>
    <row r="168" spans="7:21" x14ac:dyDescent="0.3">
      <c r="H168" s="2" t="s">
        <v>0</v>
      </c>
    </row>
    <row r="169" spans="7:21" x14ac:dyDescent="0.3">
      <c r="H169" t="s">
        <v>98</v>
      </c>
      <c r="L169" s="1">
        <f>N$48</f>
        <v>0</v>
      </c>
      <c r="N169" t="s">
        <v>80</v>
      </c>
    </row>
    <row r="170" spans="7:21" x14ac:dyDescent="0.3">
      <c r="G170" s="28" t="s">
        <v>81</v>
      </c>
      <c r="H170" s="29" t="s">
        <v>99</v>
      </c>
      <c r="L170" s="1">
        <f>P$36</f>
        <v>0</v>
      </c>
      <c r="M170" s="1">
        <f>L170-L169</f>
        <v>0</v>
      </c>
      <c r="N170" t="s">
        <v>82</v>
      </c>
    </row>
    <row r="171" spans="7:21" x14ac:dyDescent="0.3">
      <c r="G171" s="28" t="s">
        <v>81</v>
      </c>
      <c r="H171" s="29" t="s">
        <v>100</v>
      </c>
      <c r="L171" s="5">
        <f>P$37</f>
        <v>0</v>
      </c>
      <c r="M171" s="5">
        <f>L171-J$116</f>
        <v>-2010</v>
      </c>
      <c r="N171" t="s">
        <v>83</v>
      </c>
    </row>
    <row r="172" spans="7:21" x14ac:dyDescent="0.3">
      <c r="H172" t="s">
        <v>89</v>
      </c>
      <c r="L172" s="1">
        <f>N$49</f>
        <v>0</v>
      </c>
      <c r="N172" t="s">
        <v>84</v>
      </c>
    </row>
    <row r="173" spans="7:21" x14ac:dyDescent="0.3">
      <c r="G173" s="28" t="s">
        <v>81</v>
      </c>
      <c r="H173" t="s">
        <v>90</v>
      </c>
      <c r="L173" s="1">
        <f>P$38</f>
        <v>0</v>
      </c>
      <c r="M173" s="1">
        <f>L173-L172</f>
        <v>0</v>
      </c>
      <c r="N173" t="s">
        <v>85</v>
      </c>
    </row>
    <row r="174" spans="7:21" x14ac:dyDescent="0.3">
      <c r="G174" s="28" t="s">
        <v>81</v>
      </c>
      <c r="H174" t="s">
        <v>91</v>
      </c>
      <c r="L174" s="5">
        <f>P$39</f>
        <v>0</v>
      </c>
      <c r="M174" s="5">
        <f>L174-J$116</f>
        <v>-2010</v>
      </c>
      <c r="N174" t="s">
        <v>83</v>
      </c>
    </row>
    <row r="175" spans="7:21" x14ac:dyDescent="0.3">
      <c r="G175" s="28"/>
      <c r="H175" t="s">
        <v>88</v>
      </c>
      <c r="L175" s="1">
        <f>N$50</f>
        <v>0</v>
      </c>
      <c r="M175" s="5"/>
    </row>
    <row r="176" spans="7:21" x14ac:dyDescent="0.3">
      <c r="G176" s="28" t="s">
        <v>81</v>
      </c>
      <c r="H176" t="s">
        <v>96</v>
      </c>
      <c r="L176" s="1">
        <f>O$44</f>
        <v>0</v>
      </c>
      <c r="M176" s="1">
        <f>L176-L175</f>
        <v>0</v>
      </c>
      <c r="N176" t="s">
        <v>93</v>
      </c>
    </row>
    <row r="177" spans="7:21" x14ac:dyDescent="0.3">
      <c r="G177" s="28" t="s">
        <v>81</v>
      </c>
      <c r="H177" t="s">
        <v>92</v>
      </c>
      <c r="L177" s="5">
        <f>O$45</f>
        <v>0</v>
      </c>
      <c r="M177" s="5">
        <f>L177-J$78</f>
        <v>-2010</v>
      </c>
      <c r="N177" t="s">
        <v>83</v>
      </c>
    </row>
    <row r="178" spans="7:21" x14ac:dyDescent="0.3">
      <c r="H178" t="s">
        <v>15</v>
      </c>
      <c r="L178" s="1">
        <v>0.1</v>
      </c>
    </row>
    <row r="179" spans="7:21" x14ac:dyDescent="0.3">
      <c r="H179" t="s">
        <v>5</v>
      </c>
      <c r="L179" s="1">
        <v>0.35</v>
      </c>
    </row>
    <row r="180" spans="7:21" x14ac:dyDescent="0.3">
      <c r="H180" t="s">
        <v>10</v>
      </c>
      <c r="L180" s="1">
        <v>0.02</v>
      </c>
    </row>
    <row r="181" spans="7:21" x14ac:dyDescent="0.3">
      <c r="H181" t="s">
        <v>23</v>
      </c>
      <c r="L181" s="1">
        <f>J189/J186</f>
        <v>0.13891797556719021</v>
      </c>
    </row>
    <row r="182" spans="7:21" x14ac:dyDescent="0.3">
      <c r="H182" t="s">
        <v>86</v>
      </c>
    </row>
    <row r="184" spans="7:21" x14ac:dyDescent="0.3">
      <c r="J184" s="10" t="s">
        <v>12</v>
      </c>
      <c r="K184" s="13" t="s">
        <v>24</v>
      </c>
      <c r="L184" s="1"/>
      <c r="M184" s="1"/>
      <c r="N184" s="1"/>
      <c r="O184" s="1"/>
      <c r="P184" s="1"/>
      <c r="Q184" s="1"/>
      <c r="R184" s="1"/>
      <c r="S184" s="1"/>
      <c r="T184" s="1"/>
    </row>
    <row r="185" spans="7:21" x14ac:dyDescent="0.3">
      <c r="J185" s="10">
        <v>2010</v>
      </c>
      <c r="K185" s="2">
        <f>J185+1</f>
        <v>2011</v>
      </c>
      <c r="L185" s="2">
        <f t="shared" ref="L185" si="100">K185+1</f>
        <v>2012</v>
      </c>
      <c r="M185" s="2">
        <f t="shared" ref="M185" si="101">L185+1</f>
        <v>2013</v>
      </c>
      <c r="N185" s="2">
        <f t="shared" ref="N185" si="102">M185+1</f>
        <v>2014</v>
      </c>
      <c r="O185" s="2">
        <f t="shared" ref="O185" si="103">N185+1</f>
        <v>2015</v>
      </c>
      <c r="P185" s="2">
        <f t="shared" ref="P185" si="104">O185+1</f>
        <v>2016</v>
      </c>
      <c r="Q185" s="2">
        <f t="shared" ref="Q185" si="105">P185+1</f>
        <v>2017</v>
      </c>
      <c r="R185" s="2">
        <f t="shared" ref="R185" si="106">Q185+1</f>
        <v>2018</v>
      </c>
      <c r="S185" s="2">
        <f t="shared" ref="S185" si="107">R185+1</f>
        <v>2019</v>
      </c>
      <c r="T185" s="2">
        <f t="shared" ref="T185" si="108">S185+1</f>
        <v>2020</v>
      </c>
      <c r="U185" s="2" t="s">
        <v>9</v>
      </c>
    </row>
    <row r="186" spans="7:21" x14ac:dyDescent="0.3">
      <c r="H186" t="s">
        <v>1</v>
      </c>
      <c r="J186" s="11">
        <f>[1]MMHistoricalFinancials!$B$3/1000</f>
        <v>11.46</v>
      </c>
      <c r="K186" s="4">
        <f>IF(K185&lt;$L174+1,J186*(1+$M173/$M174+$L172),J186*(1+$L173))</f>
        <v>11.46</v>
      </c>
      <c r="L186" s="4">
        <f t="shared" ref="L186" si="109">IF(L185&lt;$L174+1,K186*(1+(K186-J186)/J186+$M173/$M174),K186*(1+$L173))</f>
        <v>11.46</v>
      </c>
      <c r="M186" s="4">
        <f t="shared" ref="M186" si="110">IF(M185&lt;$L174+1,L186*(1+(L186-K186)/K186+$M173/$M174),L186*(1+$L173))</f>
        <v>11.46</v>
      </c>
      <c r="N186" s="4">
        <f t="shared" ref="N186" si="111">IF(N185&lt;$L174+1,M186*(1+(M186-L186)/L186+$M173/$M174),M186*(1+$L173))</f>
        <v>11.46</v>
      </c>
      <c r="O186" s="4">
        <f t="shared" ref="O186" si="112">IF(O185&lt;$L174+1,N186*(1+(N186-M186)/M186+$M173/$M174),N186*(1+$L173))</f>
        <v>11.46</v>
      </c>
      <c r="P186" s="4">
        <f t="shared" ref="P186" si="113">IF(P185&lt;$L174+1,O186*(1+(O186-N186)/N186+$M173/$M174),O186*(1+$L173))</f>
        <v>11.46</v>
      </c>
      <c r="Q186" s="4">
        <f t="shared" ref="Q186" si="114">IF(Q185&lt;$L174+1,P186*(1+(P186-O186)/O186+$M173/$M174),P186*(1+$L173))</f>
        <v>11.46</v>
      </c>
      <c r="R186" s="4">
        <f t="shared" ref="R186" si="115">IF(R185&lt;$L174+1,Q186*(1+(Q186-P186)/P186+$M173/$M174),Q186*(1+$L173))</f>
        <v>11.46</v>
      </c>
      <c r="S186" s="4">
        <f t="shared" ref="S186" si="116">IF(S185&lt;$L174+1,R186*(1+(R186-Q186)/Q186+$M173/$M174),R186*(1+$L173))</f>
        <v>11.46</v>
      </c>
      <c r="T186" s="4">
        <f t="shared" ref="T186" si="117">IF(T185&lt;$L174+1,S186*(1+(S186-R186)/R186+$M173/$M174),S186*(1+$L173))</f>
        <v>11.46</v>
      </c>
    </row>
    <row r="187" spans="7:21" x14ac:dyDescent="0.3">
      <c r="H187" t="s">
        <v>13</v>
      </c>
      <c r="J187" s="11">
        <f>[1]MMHistoricalFinancials!$B$4/1000</f>
        <v>8.4949999999999992</v>
      </c>
      <c r="K187" s="4">
        <f>K186-K188</f>
        <v>11.46</v>
      </c>
      <c r="L187" s="4">
        <f>L186-L188</f>
        <v>11.46</v>
      </c>
      <c r="M187" s="4">
        <f t="shared" ref="M187:T187" si="118">M186-M188</f>
        <v>11.46</v>
      </c>
      <c r="N187" s="4">
        <f t="shared" si="118"/>
        <v>11.46</v>
      </c>
      <c r="O187" s="4">
        <f t="shared" si="118"/>
        <v>11.46</v>
      </c>
      <c r="P187" s="4">
        <f t="shared" si="118"/>
        <v>11.46</v>
      </c>
      <c r="Q187" s="4">
        <f t="shared" si="118"/>
        <v>11.46</v>
      </c>
      <c r="R187" s="4">
        <f t="shared" si="118"/>
        <v>11.46</v>
      </c>
      <c r="S187" s="4">
        <f t="shared" si="118"/>
        <v>11.46</v>
      </c>
      <c r="T187" s="4">
        <f t="shared" si="118"/>
        <v>11.46</v>
      </c>
    </row>
    <row r="188" spans="7:21" x14ac:dyDescent="0.3">
      <c r="H188" t="s">
        <v>2</v>
      </c>
      <c r="J188" s="11">
        <f>J186-J187</f>
        <v>2.9650000000000016</v>
      </c>
      <c r="K188" s="4">
        <f>IF(K185&lt;$L174+1,K186*($M170/$M171+$L169),K186*$L170)</f>
        <v>0</v>
      </c>
      <c r="L188" s="4">
        <f t="shared" ref="L188" si="119">IF(L185&lt;$L174+1,L186*(K188/K186+$M170/$M171),L186*$L170)</f>
        <v>0</v>
      </c>
      <c r="M188" s="4">
        <f t="shared" ref="M188" si="120">IF(M185&lt;$L174+1,M186*(L188/L186+$M170/$M171),M186*$L170)</f>
        <v>0</v>
      </c>
      <c r="N188" s="4">
        <f t="shared" ref="N188" si="121">IF(N185&lt;$L174+1,N186*(M188/M186+$M170/$M171),N186*$L170)</f>
        <v>0</v>
      </c>
      <c r="O188" s="4">
        <f t="shared" ref="O188" si="122">IF(O185&lt;$L174+1,O186*(N188/N186+$M170/$M171),O186*$L170)</f>
        <v>0</v>
      </c>
      <c r="P188" s="4">
        <f t="shared" ref="P188" si="123">IF(P185&lt;$L174+1,P186*(O188/O186+$M170/$M171),P186*$L170)</f>
        <v>0</v>
      </c>
      <c r="Q188" s="4">
        <f t="shared" ref="Q188" si="124">IF(Q185&lt;$L174+1,Q186*(P188/P186+$M170/$M171),Q186*$L170)</f>
        <v>0</v>
      </c>
      <c r="R188" s="4">
        <f t="shared" ref="R188" si="125">IF(R185&lt;$L174+1,R186*(Q188/Q186+$M170/$M171),R186*$L170)</f>
        <v>0</v>
      </c>
      <c r="S188" s="4">
        <f t="shared" ref="S188" si="126">IF(S185&lt;$L174+1,S186*(R188/R186+$M170/$M171),S186*$L170)</f>
        <v>0</v>
      </c>
      <c r="T188" s="4">
        <f t="shared" ref="T188" si="127">IF(T185&lt;$L174+1,T186*(S188/S186+$M170/$M171),T186*$L170)</f>
        <v>0</v>
      </c>
    </row>
    <row r="189" spans="7:21" x14ac:dyDescent="0.3">
      <c r="H189" t="s">
        <v>3</v>
      </c>
      <c r="J189" s="11">
        <f>[1]MMHistoricalFinancials!$B$7/1000</f>
        <v>1.5920000000000001</v>
      </c>
      <c r="K189" s="3">
        <f t="shared" ref="K189:T189" si="128">K186*$L181</f>
        <v>1.5919999999999999</v>
      </c>
      <c r="L189" s="3">
        <f t="shared" si="128"/>
        <v>1.5919999999999999</v>
      </c>
      <c r="M189" s="3">
        <f t="shared" si="128"/>
        <v>1.5919999999999999</v>
      </c>
      <c r="N189" s="3">
        <f t="shared" si="128"/>
        <v>1.5919999999999999</v>
      </c>
      <c r="O189" s="3">
        <f t="shared" si="128"/>
        <v>1.5919999999999999</v>
      </c>
      <c r="P189" s="3">
        <f t="shared" si="128"/>
        <v>1.5919999999999999</v>
      </c>
      <c r="Q189" s="3">
        <f t="shared" si="128"/>
        <v>1.5919999999999999</v>
      </c>
      <c r="R189" s="3">
        <f t="shared" si="128"/>
        <v>1.5919999999999999</v>
      </c>
      <c r="S189" s="3">
        <f t="shared" si="128"/>
        <v>1.5919999999999999</v>
      </c>
      <c r="T189" s="3">
        <f t="shared" si="128"/>
        <v>1.5919999999999999</v>
      </c>
    </row>
    <row r="190" spans="7:21" x14ac:dyDescent="0.3">
      <c r="H190" t="s">
        <v>87</v>
      </c>
      <c r="J190" s="11">
        <v>0.27800000000000002</v>
      </c>
      <c r="K190" s="3">
        <f>IF(K185&lt;$L177+1,J190*(1+$M176/$M177+$L175),J190*(1+$L176))</f>
        <v>0.27800000000000002</v>
      </c>
      <c r="L190" s="3">
        <f t="shared" ref="L190:T190" si="129">IF(L185&lt;$L177+1,K190*(1+$M176/$M177+$L175),K190*(1+$L176))</f>
        <v>0.27800000000000002</v>
      </c>
      <c r="M190" s="3">
        <f t="shared" si="129"/>
        <v>0.27800000000000002</v>
      </c>
      <c r="N190" s="3">
        <f t="shared" si="129"/>
        <v>0.27800000000000002</v>
      </c>
      <c r="O190" s="3">
        <f t="shared" si="129"/>
        <v>0.27800000000000002</v>
      </c>
      <c r="P190" s="3">
        <f t="shared" si="129"/>
        <v>0.27800000000000002</v>
      </c>
      <c r="Q190" s="3">
        <f t="shared" si="129"/>
        <v>0.27800000000000002</v>
      </c>
      <c r="R190" s="3">
        <f t="shared" si="129"/>
        <v>0.27800000000000002</v>
      </c>
      <c r="S190" s="3">
        <f t="shared" si="129"/>
        <v>0.27800000000000002</v>
      </c>
      <c r="T190" s="3">
        <f t="shared" si="129"/>
        <v>0.27800000000000002</v>
      </c>
    </row>
    <row r="191" spans="7:21" x14ac:dyDescent="0.3">
      <c r="H191" t="s">
        <v>4</v>
      </c>
      <c r="J191" s="11">
        <f>J188-J189+J190</f>
        <v>1.6510000000000016</v>
      </c>
      <c r="K191" s="4">
        <f>K188-K189+K190</f>
        <v>-1.3139999999999998</v>
      </c>
      <c r="L191" s="4">
        <f t="shared" ref="L191" si="130">L188-L189+L190</f>
        <v>-1.3139999999999998</v>
      </c>
      <c r="M191" s="4">
        <f t="shared" ref="M191" si="131">M188-M189+M190</f>
        <v>-1.3139999999999998</v>
      </c>
      <c r="N191" s="4">
        <f t="shared" ref="N191" si="132">N188-N189+N190</f>
        <v>-1.3139999999999998</v>
      </c>
      <c r="O191" s="4">
        <f t="shared" ref="O191" si="133">O188-O189+O190</f>
        <v>-1.3139999999999998</v>
      </c>
      <c r="P191" s="4">
        <f t="shared" ref="P191" si="134">P188-P189+P190</f>
        <v>-1.3139999999999998</v>
      </c>
      <c r="Q191" s="4">
        <f t="shared" ref="Q191" si="135">Q188-Q189+Q190</f>
        <v>-1.3139999999999998</v>
      </c>
      <c r="R191" s="4">
        <f t="shared" ref="R191" si="136">R188-R189+R190</f>
        <v>-1.3139999999999998</v>
      </c>
      <c r="S191" s="4">
        <f t="shared" ref="S191" si="137">S188-S189+S190</f>
        <v>-1.3139999999999998</v>
      </c>
      <c r="T191" s="4">
        <f t="shared" ref="T191" si="138">T188-T189+T190</f>
        <v>-1.3139999999999998</v>
      </c>
    </row>
    <row r="192" spans="7:21" x14ac:dyDescent="0.3">
      <c r="H192" t="s">
        <v>6</v>
      </c>
      <c r="J192" s="12">
        <f t="shared" ref="J192:T192" si="139">J191*$L179</f>
        <v>0.57785000000000053</v>
      </c>
      <c r="K192" s="3">
        <f t="shared" si="139"/>
        <v>-0.45989999999999992</v>
      </c>
      <c r="L192" s="3">
        <f t="shared" si="139"/>
        <v>-0.45989999999999992</v>
      </c>
      <c r="M192" s="3">
        <f t="shared" si="139"/>
        <v>-0.45989999999999992</v>
      </c>
      <c r="N192" s="3">
        <f t="shared" si="139"/>
        <v>-0.45989999999999992</v>
      </c>
      <c r="O192" s="3">
        <f t="shared" si="139"/>
        <v>-0.45989999999999992</v>
      </c>
      <c r="P192" s="3">
        <f t="shared" si="139"/>
        <v>-0.45989999999999992</v>
      </c>
      <c r="Q192" s="3">
        <f t="shared" si="139"/>
        <v>-0.45989999999999992</v>
      </c>
      <c r="R192" s="3">
        <f t="shared" si="139"/>
        <v>-0.45989999999999992</v>
      </c>
      <c r="S192" s="3">
        <f t="shared" si="139"/>
        <v>-0.45989999999999992</v>
      </c>
      <c r="T192" s="3">
        <f t="shared" si="139"/>
        <v>-0.45989999999999992</v>
      </c>
    </row>
    <row r="193" spans="7:21" x14ac:dyDescent="0.3">
      <c r="H193" t="s">
        <v>7</v>
      </c>
      <c r="J193" s="12">
        <f>J191-J192</f>
        <v>1.0731500000000009</v>
      </c>
      <c r="K193" s="3">
        <f t="shared" ref="K193:T193" si="140">K191-K192</f>
        <v>-0.85409999999999986</v>
      </c>
      <c r="L193" s="3">
        <f t="shared" si="140"/>
        <v>-0.85409999999999986</v>
      </c>
      <c r="M193" s="3">
        <f t="shared" si="140"/>
        <v>-0.85409999999999986</v>
      </c>
      <c r="N193" s="3">
        <f t="shared" si="140"/>
        <v>-0.85409999999999986</v>
      </c>
      <c r="O193" s="3">
        <f t="shared" si="140"/>
        <v>-0.85409999999999986</v>
      </c>
      <c r="P193" s="3">
        <f t="shared" si="140"/>
        <v>-0.85409999999999986</v>
      </c>
      <c r="Q193" s="3">
        <f t="shared" si="140"/>
        <v>-0.85409999999999986</v>
      </c>
      <c r="R193" s="3">
        <f t="shared" si="140"/>
        <v>-0.85409999999999986</v>
      </c>
      <c r="S193" s="3">
        <f t="shared" si="140"/>
        <v>-0.85409999999999986</v>
      </c>
      <c r="T193" s="3">
        <f t="shared" si="140"/>
        <v>-0.85409999999999986</v>
      </c>
      <c r="U193" s="3"/>
    </row>
    <row r="194" spans="7:21" x14ac:dyDescent="0.3">
      <c r="H194" t="s">
        <v>8</v>
      </c>
      <c r="J194" s="12"/>
      <c r="K194" s="3">
        <f t="shared" ref="K194:T194" si="141">K193/(1+$L178)^(K185-2010)</f>
        <v>-0.77645454545454529</v>
      </c>
      <c r="L194" s="3">
        <f t="shared" si="141"/>
        <v>-0.70586776859504108</v>
      </c>
      <c r="M194" s="3">
        <f t="shared" si="141"/>
        <v>-0.64169797145003726</v>
      </c>
      <c r="N194" s="3">
        <f t="shared" si="141"/>
        <v>-0.58336179222730666</v>
      </c>
      <c r="O194" s="3">
        <f t="shared" si="141"/>
        <v>-0.53032890202482419</v>
      </c>
      <c r="P194" s="3">
        <f t="shared" si="141"/>
        <v>-0.48211718365893103</v>
      </c>
      <c r="Q194" s="3">
        <f t="shared" si="141"/>
        <v>-0.43828834878084627</v>
      </c>
      <c r="R194" s="3">
        <f t="shared" si="141"/>
        <v>-0.39844395343713301</v>
      </c>
      <c r="S194" s="3">
        <f t="shared" si="141"/>
        <v>-0.3622217758519391</v>
      </c>
      <c r="T194" s="3">
        <f t="shared" si="141"/>
        <v>-0.3292925235017628</v>
      </c>
      <c r="U194" s="3">
        <f>T194/(L178-L180)</f>
        <v>-4.1161565437720347</v>
      </c>
    </row>
    <row r="196" spans="7:21" x14ac:dyDescent="0.3">
      <c r="H196" t="s">
        <v>11</v>
      </c>
      <c r="J196" s="3">
        <f>SUM(J194:U194)</f>
        <v>-9.3642313087544018</v>
      </c>
    </row>
    <row r="200" spans="7:21" ht="15" thickBot="1" x14ac:dyDescent="0.35">
      <c r="H200" s="6" t="s">
        <v>102</v>
      </c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</row>
    <row r="202" spans="7:21" x14ac:dyDescent="0.3">
      <c r="H202" s="2" t="s">
        <v>0</v>
      </c>
    </row>
    <row r="203" spans="7:21" x14ac:dyDescent="0.3">
      <c r="H203" t="s">
        <v>98</v>
      </c>
      <c r="L203" s="1">
        <f>N$48</f>
        <v>0</v>
      </c>
      <c r="N203" t="s">
        <v>80</v>
      </c>
    </row>
    <row r="204" spans="7:21" x14ac:dyDescent="0.3">
      <c r="G204" s="28" t="s">
        <v>81</v>
      </c>
      <c r="H204" s="29" t="s">
        <v>99</v>
      </c>
      <c r="L204" s="1">
        <f>P$36</f>
        <v>0</v>
      </c>
      <c r="M204" s="1">
        <f>L204-L203</f>
        <v>0</v>
      </c>
      <c r="N204" t="s">
        <v>82</v>
      </c>
    </row>
    <row r="205" spans="7:21" x14ac:dyDescent="0.3">
      <c r="G205" s="28" t="s">
        <v>81</v>
      </c>
      <c r="H205" s="29" t="s">
        <v>100</v>
      </c>
      <c r="L205" s="5">
        <f>P$37</f>
        <v>0</v>
      </c>
      <c r="M205" s="5">
        <f>L205-J$116</f>
        <v>-2010</v>
      </c>
      <c r="N205" t="s">
        <v>83</v>
      </c>
    </row>
    <row r="206" spans="7:21" x14ac:dyDescent="0.3">
      <c r="H206" t="s">
        <v>89</v>
      </c>
      <c r="L206" s="1">
        <f>N$49</f>
        <v>0</v>
      </c>
      <c r="N206" t="s">
        <v>84</v>
      </c>
    </row>
    <row r="207" spans="7:21" x14ac:dyDescent="0.3">
      <c r="G207" s="28" t="s">
        <v>81</v>
      </c>
      <c r="H207" t="s">
        <v>90</v>
      </c>
      <c r="L207" s="1">
        <f>P$38</f>
        <v>0</v>
      </c>
      <c r="M207" s="1">
        <f>L207-L206</f>
        <v>0</v>
      </c>
      <c r="N207" t="s">
        <v>85</v>
      </c>
    </row>
    <row r="208" spans="7:21" x14ac:dyDescent="0.3">
      <c r="G208" s="28" t="s">
        <v>81</v>
      </c>
      <c r="H208" t="s">
        <v>91</v>
      </c>
      <c r="L208" s="5">
        <f>P$39</f>
        <v>0</v>
      </c>
      <c r="M208" s="5">
        <f>L208-J$116</f>
        <v>-2010</v>
      </c>
      <c r="N208" t="s">
        <v>83</v>
      </c>
    </row>
    <row r="209" spans="7:21" x14ac:dyDescent="0.3">
      <c r="G209" s="28"/>
      <c r="H209" t="s">
        <v>88</v>
      </c>
      <c r="L209" s="1">
        <f>N$50</f>
        <v>0</v>
      </c>
      <c r="M209" s="5"/>
    </row>
    <row r="210" spans="7:21" x14ac:dyDescent="0.3">
      <c r="G210" s="28" t="s">
        <v>81</v>
      </c>
      <c r="H210" t="s">
        <v>96</v>
      </c>
      <c r="L210" s="1">
        <f>P$44</f>
        <v>0</v>
      </c>
      <c r="M210" s="1">
        <f>L210-L209</f>
        <v>0</v>
      </c>
      <c r="N210" t="s">
        <v>93</v>
      </c>
    </row>
    <row r="211" spans="7:21" x14ac:dyDescent="0.3">
      <c r="G211" s="28" t="s">
        <v>81</v>
      </c>
      <c r="H211" t="s">
        <v>92</v>
      </c>
      <c r="L211" s="5">
        <f>P$45</f>
        <v>0</v>
      </c>
      <c r="M211" s="5">
        <f>L211-J$78</f>
        <v>-2010</v>
      </c>
      <c r="N211" t="s">
        <v>83</v>
      </c>
    </row>
    <row r="212" spans="7:21" x14ac:dyDescent="0.3">
      <c r="H212" t="s">
        <v>15</v>
      </c>
      <c r="L212" s="1">
        <f>S$48</f>
        <v>0</v>
      </c>
    </row>
    <row r="213" spans="7:21" x14ac:dyDescent="0.3">
      <c r="H213" t="s">
        <v>5</v>
      </c>
      <c r="L213" s="1">
        <f>S$49</f>
        <v>0</v>
      </c>
    </row>
    <row r="214" spans="7:21" x14ac:dyDescent="0.3">
      <c r="H214" t="s">
        <v>10</v>
      </c>
      <c r="L214" s="1">
        <f>S$50</f>
        <v>0</v>
      </c>
    </row>
    <row r="215" spans="7:21" x14ac:dyDescent="0.3">
      <c r="H215" t="s">
        <v>23</v>
      </c>
      <c r="L215" s="1">
        <f>N$51</f>
        <v>0</v>
      </c>
    </row>
    <row r="216" spans="7:21" x14ac:dyDescent="0.3">
      <c r="H216" t="s">
        <v>86</v>
      </c>
    </row>
    <row r="218" spans="7:21" x14ac:dyDescent="0.3">
      <c r="J218" s="10" t="s">
        <v>12</v>
      </c>
      <c r="K218" s="13" t="s">
        <v>24</v>
      </c>
      <c r="L218" s="1"/>
      <c r="M218" s="1"/>
      <c r="N218" s="1"/>
      <c r="O218" s="1"/>
      <c r="P218" s="1"/>
      <c r="Q218" s="1"/>
      <c r="R218" s="1"/>
      <c r="S218" s="1"/>
      <c r="T218" s="1"/>
    </row>
    <row r="219" spans="7:21" x14ac:dyDescent="0.3">
      <c r="J219" s="10">
        <v>2010</v>
      </c>
      <c r="K219" s="2">
        <f>J219+1</f>
        <v>2011</v>
      </c>
      <c r="L219" s="2">
        <f t="shared" ref="L219" si="142">K219+1</f>
        <v>2012</v>
      </c>
      <c r="M219" s="2">
        <f t="shared" ref="M219" si="143">L219+1</f>
        <v>2013</v>
      </c>
      <c r="N219" s="2">
        <f t="shared" ref="N219" si="144">M219+1</f>
        <v>2014</v>
      </c>
      <c r="O219" s="2">
        <f t="shared" ref="O219" si="145">N219+1</f>
        <v>2015</v>
      </c>
      <c r="P219" s="2">
        <f t="shared" ref="P219" si="146">O219+1</f>
        <v>2016</v>
      </c>
      <c r="Q219" s="2">
        <f t="shared" ref="Q219" si="147">P219+1</f>
        <v>2017</v>
      </c>
      <c r="R219" s="2">
        <f t="shared" ref="R219" si="148">Q219+1</f>
        <v>2018</v>
      </c>
      <c r="S219" s="2">
        <f t="shared" ref="S219" si="149">R219+1</f>
        <v>2019</v>
      </c>
      <c r="T219" s="2">
        <f t="shared" ref="T219" si="150">S219+1</f>
        <v>2020</v>
      </c>
      <c r="U219" s="2" t="s">
        <v>9</v>
      </c>
    </row>
    <row r="220" spans="7:21" x14ac:dyDescent="0.3">
      <c r="H220" t="s">
        <v>1</v>
      </c>
      <c r="J220" s="11">
        <f>[1]MMHistoricalFinancials!$B$3/1000</f>
        <v>11.46</v>
      </c>
      <c r="K220" s="4">
        <f>IF(K219&lt;$L208+1,J220*(1+$M207/$M208+$L206),J220*(1+$L207))</f>
        <v>11.46</v>
      </c>
      <c r="L220" s="4">
        <f t="shared" ref="L220" si="151">IF(L219&lt;$L208+1,K220*(1+(K220-J220)/J220+$M207/$M208),K220*(1+$L207))</f>
        <v>11.46</v>
      </c>
      <c r="M220" s="4">
        <f t="shared" ref="M220" si="152">IF(M219&lt;$L208+1,L220*(1+(L220-K220)/K220+$M207/$M208),L220*(1+$L207))</f>
        <v>11.46</v>
      </c>
      <c r="N220" s="4">
        <f t="shared" ref="N220" si="153">IF(N219&lt;$L208+1,M220*(1+(M220-L220)/L220+$M207/$M208),M220*(1+$L207))</f>
        <v>11.46</v>
      </c>
      <c r="O220" s="4">
        <f t="shared" ref="O220" si="154">IF(O219&lt;$L208+1,N220*(1+(N220-M220)/M220+$M207/$M208),N220*(1+$L207))</f>
        <v>11.46</v>
      </c>
      <c r="P220" s="4">
        <f t="shared" ref="P220" si="155">IF(P219&lt;$L208+1,O220*(1+(O220-N220)/N220+$M207/$M208),O220*(1+$L207))</f>
        <v>11.46</v>
      </c>
      <c r="Q220" s="4">
        <f t="shared" ref="Q220" si="156">IF(Q219&lt;$L208+1,P220*(1+(P220-O220)/O220+$M207/$M208),P220*(1+$L207))</f>
        <v>11.46</v>
      </c>
      <c r="R220" s="4">
        <f t="shared" ref="R220" si="157">IF(R219&lt;$L208+1,Q220*(1+(Q220-P220)/P220+$M207/$M208),Q220*(1+$L207))</f>
        <v>11.46</v>
      </c>
      <c r="S220" s="4">
        <f t="shared" ref="S220" si="158">IF(S219&lt;$L208+1,R220*(1+(R220-Q220)/Q220+$M207/$M208),R220*(1+$L207))</f>
        <v>11.46</v>
      </c>
      <c r="T220" s="4">
        <f t="shared" ref="T220" si="159">IF(T219&lt;$L208+1,S220*(1+(S220-R220)/R220+$M207/$M208),S220*(1+$L207))</f>
        <v>11.46</v>
      </c>
    </row>
    <row r="221" spans="7:21" x14ac:dyDescent="0.3">
      <c r="H221" t="s">
        <v>13</v>
      </c>
      <c r="J221" s="11">
        <f>[1]MMHistoricalFinancials!$B$4/1000</f>
        <v>8.4949999999999992</v>
      </c>
      <c r="K221" s="4">
        <f>K220-K222</f>
        <v>11.46</v>
      </c>
      <c r="L221" s="4">
        <f>L220-L222</f>
        <v>11.46</v>
      </c>
      <c r="M221" s="4">
        <f t="shared" ref="M221:T221" si="160">M220-M222</f>
        <v>11.46</v>
      </c>
      <c r="N221" s="4">
        <f t="shared" si="160"/>
        <v>11.46</v>
      </c>
      <c r="O221" s="4">
        <f t="shared" si="160"/>
        <v>11.46</v>
      </c>
      <c r="P221" s="4">
        <f t="shared" si="160"/>
        <v>11.46</v>
      </c>
      <c r="Q221" s="4">
        <f t="shared" si="160"/>
        <v>11.46</v>
      </c>
      <c r="R221" s="4">
        <f t="shared" si="160"/>
        <v>11.46</v>
      </c>
      <c r="S221" s="4">
        <f t="shared" si="160"/>
        <v>11.46</v>
      </c>
      <c r="T221" s="4">
        <f t="shared" si="160"/>
        <v>11.46</v>
      </c>
    </row>
    <row r="222" spans="7:21" x14ac:dyDescent="0.3">
      <c r="H222" t="s">
        <v>2</v>
      </c>
      <c r="J222" s="11">
        <f>J220-J221</f>
        <v>2.9650000000000016</v>
      </c>
      <c r="K222" s="4">
        <f>IF(K219&lt;$L208+1,K220*($M204/$M205+$L203),K220*$L204)</f>
        <v>0</v>
      </c>
      <c r="L222" s="4">
        <f t="shared" ref="L222" si="161">IF(L219&lt;$L208+1,L220*(K222/K220+$M204/$M205),L220*$L204)</f>
        <v>0</v>
      </c>
      <c r="M222" s="4">
        <f t="shared" ref="M222" si="162">IF(M219&lt;$L208+1,M220*(L222/L220+$M204/$M205),M220*$L204)</f>
        <v>0</v>
      </c>
      <c r="N222" s="4">
        <f t="shared" ref="N222" si="163">IF(N219&lt;$L208+1,N220*(M222/M220+$M204/$M205),N220*$L204)</f>
        <v>0</v>
      </c>
      <c r="O222" s="4">
        <f t="shared" ref="O222" si="164">IF(O219&lt;$L208+1,O220*(N222/N220+$M204/$M205),O220*$L204)</f>
        <v>0</v>
      </c>
      <c r="P222" s="4">
        <f t="shared" ref="P222" si="165">IF(P219&lt;$L208+1,P220*(O222/O220+$M204/$M205),P220*$L204)</f>
        <v>0</v>
      </c>
      <c r="Q222" s="4">
        <f t="shared" ref="Q222" si="166">IF(Q219&lt;$L208+1,Q220*(P222/P220+$M204/$M205),Q220*$L204)</f>
        <v>0</v>
      </c>
      <c r="R222" s="4">
        <f t="shared" ref="R222" si="167">IF(R219&lt;$L208+1,R220*(Q222/Q220+$M204/$M205),R220*$L204)</f>
        <v>0</v>
      </c>
      <c r="S222" s="4">
        <f t="shared" ref="S222" si="168">IF(S219&lt;$L208+1,S220*(R222/R220+$M204/$M205),S220*$L204)</f>
        <v>0</v>
      </c>
      <c r="T222" s="4">
        <f t="shared" ref="T222" si="169">IF(T219&lt;$L208+1,T220*(S222/S220+$M204/$M205),T220*$L204)</f>
        <v>0</v>
      </c>
    </row>
    <row r="223" spans="7:21" x14ac:dyDescent="0.3">
      <c r="H223" t="s">
        <v>3</v>
      </c>
      <c r="J223" s="11">
        <f>[1]MMHistoricalFinancials!$B$7/1000</f>
        <v>1.5920000000000001</v>
      </c>
      <c r="K223" s="3">
        <f t="shared" ref="K223:T223" si="170">K220*$L215</f>
        <v>0</v>
      </c>
      <c r="L223" s="3">
        <f t="shared" si="170"/>
        <v>0</v>
      </c>
      <c r="M223" s="3">
        <f t="shared" si="170"/>
        <v>0</v>
      </c>
      <c r="N223" s="3">
        <f t="shared" si="170"/>
        <v>0</v>
      </c>
      <c r="O223" s="3">
        <f t="shared" si="170"/>
        <v>0</v>
      </c>
      <c r="P223" s="3">
        <f t="shared" si="170"/>
        <v>0</v>
      </c>
      <c r="Q223" s="3">
        <f t="shared" si="170"/>
        <v>0</v>
      </c>
      <c r="R223" s="3">
        <f t="shared" si="170"/>
        <v>0</v>
      </c>
      <c r="S223" s="3">
        <f t="shared" si="170"/>
        <v>0</v>
      </c>
      <c r="T223" s="3">
        <f t="shared" si="170"/>
        <v>0</v>
      </c>
    </row>
    <row r="224" spans="7:21" x14ac:dyDescent="0.3">
      <c r="H224" t="s">
        <v>87</v>
      </c>
      <c r="J224" s="11">
        <v>0.27800000000000002</v>
      </c>
      <c r="K224" s="3">
        <f>IF(K219&lt;$L211+1,J224*(1+$M210/$M211+$L209),J224*(1+$L210))</f>
        <v>0.27800000000000002</v>
      </c>
      <c r="L224" s="3">
        <f t="shared" ref="L224:T224" si="171">IF(L219&lt;$L211+1,K224*(1+$M210/$M211+$L209),K224*(1+$L210))</f>
        <v>0.27800000000000002</v>
      </c>
      <c r="M224" s="3">
        <f t="shared" si="171"/>
        <v>0.27800000000000002</v>
      </c>
      <c r="N224" s="3">
        <f t="shared" si="171"/>
        <v>0.27800000000000002</v>
      </c>
      <c r="O224" s="3">
        <f t="shared" si="171"/>
        <v>0.27800000000000002</v>
      </c>
      <c r="P224" s="3">
        <f t="shared" si="171"/>
        <v>0.27800000000000002</v>
      </c>
      <c r="Q224" s="3">
        <f t="shared" si="171"/>
        <v>0.27800000000000002</v>
      </c>
      <c r="R224" s="3">
        <f t="shared" si="171"/>
        <v>0.27800000000000002</v>
      </c>
      <c r="S224" s="3">
        <f t="shared" si="171"/>
        <v>0.27800000000000002</v>
      </c>
      <c r="T224" s="3">
        <f t="shared" si="171"/>
        <v>0.27800000000000002</v>
      </c>
    </row>
    <row r="225" spans="7:21" x14ac:dyDescent="0.3">
      <c r="H225" t="s">
        <v>4</v>
      </c>
      <c r="J225" s="11">
        <f>J222-J223+J224</f>
        <v>1.6510000000000016</v>
      </c>
      <c r="K225" s="4">
        <f>K222-K223+K224</f>
        <v>0.27800000000000002</v>
      </c>
      <c r="L225" s="4">
        <f t="shared" ref="L225" si="172">L222-L223+L224</f>
        <v>0.27800000000000002</v>
      </c>
      <c r="M225" s="4">
        <f t="shared" ref="M225" si="173">M222-M223+M224</f>
        <v>0.27800000000000002</v>
      </c>
      <c r="N225" s="4">
        <f t="shared" ref="N225" si="174">N222-N223+N224</f>
        <v>0.27800000000000002</v>
      </c>
      <c r="O225" s="4">
        <f t="shared" ref="O225" si="175">O222-O223+O224</f>
        <v>0.27800000000000002</v>
      </c>
      <c r="P225" s="4">
        <f t="shared" ref="P225" si="176">P222-P223+P224</f>
        <v>0.27800000000000002</v>
      </c>
      <c r="Q225" s="4">
        <f t="shared" ref="Q225" si="177">Q222-Q223+Q224</f>
        <v>0.27800000000000002</v>
      </c>
      <c r="R225" s="4">
        <f t="shared" ref="R225" si="178">R222-R223+R224</f>
        <v>0.27800000000000002</v>
      </c>
      <c r="S225" s="4">
        <f t="shared" ref="S225" si="179">S222-S223+S224</f>
        <v>0.27800000000000002</v>
      </c>
      <c r="T225" s="4">
        <f t="shared" ref="T225" si="180">T222-T223+T224</f>
        <v>0.27800000000000002</v>
      </c>
    </row>
    <row r="226" spans="7:21" x14ac:dyDescent="0.3">
      <c r="H226" t="s">
        <v>6</v>
      </c>
      <c r="J226" s="12">
        <f t="shared" ref="J226:T226" si="181">J225*$L213</f>
        <v>0</v>
      </c>
      <c r="K226" s="3">
        <f t="shared" si="181"/>
        <v>0</v>
      </c>
      <c r="L226" s="3">
        <f t="shared" si="181"/>
        <v>0</v>
      </c>
      <c r="M226" s="3">
        <f t="shared" si="181"/>
        <v>0</v>
      </c>
      <c r="N226" s="3">
        <f t="shared" si="181"/>
        <v>0</v>
      </c>
      <c r="O226" s="3">
        <f t="shared" si="181"/>
        <v>0</v>
      </c>
      <c r="P226" s="3">
        <f t="shared" si="181"/>
        <v>0</v>
      </c>
      <c r="Q226" s="3">
        <f t="shared" si="181"/>
        <v>0</v>
      </c>
      <c r="R226" s="3">
        <f t="shared" si="181"/>
        <v>0</v>
      </c>
      <c r="S226" s="3">
        <f t="shared" si="181"/>
        <v>0</v>
      </c>
      <c r="T226" s="3">
        <f t="shared" si="181"/>
        <v>0</v>
      </c>
    </row>
    <row r="227" spans="7:21" x14ac:dyDescent="0.3">
      <c r="H227" t="s">
        <v>7</v>
      </c>
      <c r="J227" s="12">
        <f>J225-J226</f>
        <v>1.6510000000000016</v>
      </c>
      <c r="K227" s="3">
        <f t="shared" ref="K227:T227" si="182">K225-K226</f>
        <v>0.27800000000000002</v>
      </c>
      <c r="L227" s="3">
        <f t="shared" si="182"/>
        <v>0.27800000000000002</v>
      </c>
      <c r="M227" s="3">
        <f t="shared" si="182"/>
        <v>0.27800000000000002</v>
      </c>
      <c r="N227" s="3">
        <f t="shared" si="182"/>
        <v>0.27800000000000002</v>
      </c>
      <c r="O227" s="3">
        <f t="shared" si="182"/>
        <v>0.27800000000000002</v>
      </c>
      <c r="P227" s="3">
        <f t="shared" si="182"/>
        <v>0.27800000000000002</v>
      </c>
      <c r="Q227" s="3">
        <f t="shared" si="182"/>
        <v>0.27800000000000002</v>
      </c>
      <c r="R227" s="3">
        <f t="shared" si="182"/>
        <v>0.27800000000000002</v>
      </c>
      <c r="S227" s="3">
        <f t="shared" si="182"/>
        <v>0.27800000000000002</v>
      </c>
      <c r="T227" s="3">
        <f t="shared" si="182"/>
        <v>0.27800000000000002</v>
      </c>
      <c r="U227" s="3"/>
    </row>
    <row r="228" spans="7:21" x14ac:dyDescent="0.3">
      <c r="H228" t="s">
        <v>8</v>
      </c>
      <c r="J228" s="12"/>
      <c r="K228" s="3">
        <f t="shared" ref="K228:T228" si="183">K227/(1+$L212)^(K219-2010)</f>
        <v>0.27800000000000002</v>
      </c>
      <c r="L228" s="3">
        <f t="shared" si="183"/>
        <v>0.27800000000000002</v>
      </c>
      <c r="M228" s="3">
        <f t="shared" si="183"/>
        <v>0.27800000000000002</v>
      </c>
      <c r="N228" s="3">
        <f t="shared" si="183"/>
        <v>0.27800000000000002</v>
      </c>
      <c r="O228" s="3">
        <f t="shared" si="183"/>
        <v>0.27800000000000002</v>
      </c>
      <c r="P228" s="3">
        <f t="shared" si="183"/>
        <v>0.27800000000000002</v>
      </c>
      <c r="Q228" s="3">
        <f t="shared" si="183"/>
        <v>0.27800000000000002</v>
      </c>
      <c r="R228" s="3">
        <f t="shared" si="183"/>
        <v>0.27800000000000002</v>
      </c>
      <c r="S228" s="3">
        <f t="shared" si="183"/>
        <v>0.27800000000000002</v>
      </c>
      <c r="T228" s="3">
        <f t="shared" si="183"/>
        <v>0.27800000000000002</v>
      </c>
      <c r="U228" s="3" t="e">
        <f>T228/(L212-L214)</f>
        <v>#DIV/0!</v>
      </c>
    </row>
    <row r="230" spans="7:21" x14ac:dyDescent="0.3">
      <c r="H230" t="s">
        <v>11</v>
      </c>
      <c r="J230" s="3" t="e">
        <f>SUM(J228:U228)</f>
        <v>#DIV/0!</v>
      </c>
    </row>
    <row r="234" spans="7:21" ht="15" thickBot="1" x14ac:dyDescent="0.35">
      <c r="H234" s="6" t="s">
        <v>103</v>
      </c>
      <c r="I234" s="7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  <c r="U234" s="7"/>
    </row>
    <row r="236" spans="7:21" x14ac:dyDescent="0.3">
      <c r="H236" s="2" t="s">
        <v>0</v>
      </c>
    </row>
    <row r="237" spans="7:21" x14ac:dyDescent="0.3">
      <c r="H237" t="s">
        <v>98</v>
      </c>
      <c r="L237" s="1">
        <f>N$48</f>
        <v>0</v>
      </c>
      <c r="N237" t="s">
        <v>80</v>
      </c>
    </row>
    <row r="238" spans="7:21" x14ac:dyDescent="0.3">
      <c r="G238" s="28" t="s">
        <v>81</v>
      </c>
      <c r="H238" s="29" t="s">
        <v>99</v>
      </c>
      <c r="L238" s="1">
        <f>O$36</f>
        <v>0</v>
      </c>
      <c r="M238" s="1">
        <f>L238-L237</f>
        <v>0</v>
      </c>
      <c r="N238" t="s">
        <v>82</v>
      </c>
    </row>
    <row r="239" spans="7:21" x14ac:dyDescent="0.3">
      <c r="G239" s="28" t="s">
        <v>81</v>
      </c>
      <c r="H239" s="29" t="s">
        <v>100</v>
      </c>
      <c r="L239" s="5">
        <f>O$37</f>
        <v>0</v>
      </c>
      <c r="M239" s="5">
        <f>L239-J$116</f>
        <v>-2010</v>
      </c>
      <c r="N239" t="s">
        <v>83</v>
      </c>
    </row>
    <row r="240" spans="7:21" x14ac:dyDescent="0.3">
      <c r="H240" t="s">
        <v>89</v>
      </c>
      <c r="L240" s="1">
        <f>N$49</f>
        <v>0</v>
      </c>
      <c r="N240" t="s">
        <v>84</v>
      </c>
    </row>
    <row r="241" spans="7:21" x14ac:dyDescent="0.3">
      <c r="G241" s="28" t="s">
        <v>81</v>
      </c>
      <c r="H241" t="s">
        <v>90</v>
      </c>
      <c r="L241" s="1">
        <f>O$38</f>
        <v>0</v>
      </c>
      <c r="M241" s="1">
        <f>L241-L240</f>
        <v>0</v>
      </c>
      <c r="N241" t="s">
        <v>85</v>
      </c>
    </row>
    <row r="242" spans="7:21" x14ac:dyDescent="0.3">
      <c r="G242" s="28" t="s">
        <v>81</v>
      </c>
      <c r="H242" t="s">
        <v>91</v>
      </c>
      <c r="L242" s="5">
        <f>O$39</f>
        <v>0</v>
      </c>
      <c r="M242" s="5">
        <f>L242-J$116</f>
        <v>-2010</v>
      </c>
      <c r="N242" t="s">
        <v>83</v>
      </c>
    </row>
    <row r="243" spans="7:21" x14ac:dyDescent="0.3">
      <c r="G243" s="28"/>
      <c r="H243" t="s">
        <v>88</v>
      </c>
      <c r="L243" s="1">
        <f>N$50</f>
        <v>0</v>
      </c>
      <c r="M243" s="5"/>
    </row>
    <row r="244" spans="7:21" x14ac:dyDescent="0.3">
      <c r="G244" s="28" t="s">
        <v>81</v>
      </c>
      <c r="H244" t="s">
        <v>96</v>
      </c>
      <c r="L244" s="1">
        <f>Q$44</f>
        <v>0</v>
      </c>
      <c r="M244" s="1">
        <f>L244-L243</f>
        <v>0</v>
      </c>
      <c r="N244" t="s">
        <v>93</v>
      </c>
    </row>
    <row r="245" spans="7:21" x14ac:dyDescent="0.3">
      <c r="G245" s="28" t="s">
        <v>81</v>
      </c>
      <c r="H245" t="s">
        <v>92</v>
      </c>
      <c r="L245" s="5">
        <f>Q$45</f>
        <v>0</v>
      </c>
      <c r="M245" s="5">
        <f>L245-J$78</f>
        <v>-2010</v>
      </c>
      <c r="N245" t="s">
        <v>83</v>
      </c>
    </row>
    <row r="246" spans="7:21" x14ac:dyDescent="0.3">
      <c r="H246" t="s">
        <v>15</v>
      </c>
      <c r="L246" s="1">
        <f>S$48</f>
        <v>0</v>
      </c>
    </row>
    <row r="247" spans="7:21" x14ac:dyDescent="0.3">
      <c r="H247" t="s">
        <v>5</v>
      </c>
      <c r="L247" s="1">
        <f>S$49</f>
        <v>0</v>
      </c>
    </row>
    <row r="248" spans="7:21" x14ac:dyDescent="0.3">
      <c r="H248" t="s">
        <v>10</v>
      </c>
      <c r="L248" s="1">
        <f>S$50</f>
        <v>0</v>
      </c>
    </row>
    <row r="249" spans="7:21" x14ac:dyDescent="0.3">
      <c r="H249" t="s">
        <v>23</v>
      </c>
      <c r="L249" s="1">
        <f>N$51</f>
        <v>0</v>
      </c>
    </row>
    <row r="250" spans="7:21" x14ac:dyDescent="0.3">
      <c r="H250" t="s">
        <v>86</v>
      </c>
    </row>
    <row r="252" spans="7:21" x14ac:dyDescent="0.3">
      <c r="J252" s="10" t="s">
        <v>12</v>
      </c>
      <c r="K252" s="13" t="s">
        <v>24</v>
      </c>
      <c r="L252" s="1"/>
      <c r="M252" s="1"/>
      <c r="N252" s="1"/>
      <c r="O252" s="1"/>
      <c r="P252" s="1"/>
      <c r="Q252" s="1"/>
      <c r="R252" s="1"/>
      <c r="S252" s="1"/>
      <c r="T252" s="1"/>
    </row>
    <row r="253" spans="7:21" x14ac:dyDescent="0.3">
      <c r="J253" s="10">
        <v>2010</v>
      </c>
      <c r="K253" s="2">
        <f>J253+1</f>
        <v>2011</v>
      </c>
      <c r="L253" s="2">
        <f t="shared" ref="L253" si="184">K253+1</f>
        <v>2012</v>
      </c>
      <c r="M253" s="2">
        <f t="shared" ref="M253" si="185">L253+1</f>
        <v>2013</v>
      </c>
      <c r="N253" s="2">
        <f t="shared" ref="N253" si="186">M253+1</f>
        <v>2014</v>
      </c>
      <c r="O253" s="2">
        <f t="shared" ref="O253" si="187">N253+1</f>
        <v>2015</v>
      </c>
      <c r="P253" s="2">
        <f t="shared" ref="P253" si="188">O253+1</f>
        <v>2016</v>
      </c>
      <c r="Q253" s="2">
        <f t="shared" ref="Q253" si="189">P253+1</f>
        <v>2017</v>
      </c>
      <c r="R253" s="2">
        <f t="shared" ref="R253" si="190">Q253+1</f>
        <v>2018</v>
      </c>
      <c r="S253" s="2">
        <f t="shared" ref="S253" si="191">R253+1</f>
        <v>2019</v>
      </c>
      <c r="T253" s="2">
        <f t="shared" ref="T253" si="192">S253+1</f>
        <v>2020</v>
      </c>
      <c r="U253" s="2" t="s">
        <v>9</v>
      </c>
    </row>
    <row r="254" spans="7:21" x14ac:dyDescent="0.3">
      <c r="H254" t="s">
        <v>1</v>
      </c>
      <c r="J254" s="11">
        <f>[1]MMHistoricalFinancials!$B$3/1000</f>
        <v>11.46</v>
      </c>
      <c r="K254" s="4">
        <f>IF(K253&lt;$L242+1,J254*(1+$M241/$M242+$L240),J254*(1+$L241))</f>
        <v>11.46</v>
      </c>
      <c r="L254" s="4">
        <f t="shared" ref="L254" si="193">IF(L253&lt;$L242+1,K254*(1+(K254-J254)/J254+$M241/$M242),K254*(1+$L241))</f>
        <v>11.46</v>
      </c>
      <c r="M254" s="4">
        <f t="shared" ref="M254" si="194">IF(M253&lt;$L242+1,L254*(1+(L254-K254)/K254+$M241/$M242),L254*(1+$L241))</f>
        <v>11.46</v>
      </c>
      <c r="N254" s="4">
        <f t="shared" ref="N254" si="195">IF(N253&lt;$L242+1,M254*(1+(M254-L254)/L254+$M241/$M242),M254*(1+$L241))</f>
        <v>11.46</v>
      </c>
      <c r="O254" s="4">
        <f t="shared" ref="O254" si="196">IF(O253&lt;$L242+1,N254*(1+(N254-M254)/M254+$M241/$M242),N254*(1+$L241))</f>
        <v>11.46</v>
      </c>
      <c r="P254" s="4">
        <f t="shared" ref="P254" si="197">IF(P253&lt;$L242+1,O254*(1+(O254-N254)/N254+$M241/$M242),O254*(1+$L241))</f>
        <v>11.46</v>
      </c>
      <c r="Q254" s="4">
        <f t="shared" ref="Q254" si="198">IF(Q253&lt;$L242+1,P254*(1+(P254-O254)/O254+$M241/$M242),P254*(1+$L241))</f>
        <v>11.46</v>
      </c>
      <c r="R254" s="4">
        <f t="shared" ref="R254" si="199">IF(R253&lt;$L242+1,Q254*(1+(Q254-P254)/P254+$M241/$M242),Q254*(1+$L241))</f>
        <v>11.46</v>
      </c>
      <c r="S254" s="4">
        <f t="shared" ref="S254" si="200">IF(S253&lt;$L242+1,R254*(1+(R254-Q254)/Q254+$M241/$M242),R254*(1+$L241))</f>
        <v>11.46</v>
      </c>
      <c r="T254" s="4">
        <f t="shared" ref="T254" si="201">IF(T253&lt;$L242+1,S254*(1+(S254-R254)/R254+$M241/$M242),S254*(1+$L241))</f>
        <v>11.46</v>
      </c>
    </row>
    <row r="255" spans="7:21" x14ac:dyDescent="0.3">
      <c r="H255" t="s">
        <v>13</v>
      </c>
      <c r="J255" s="11">
        <f>[1]MMHistoricalFinancials!$B$4/1000</f>
        <v>8.4949999999999992</v>
      </c>
      <c r="K255" s="4">
        <f>K254-K256</f>
        <v>11.46</v>
      </c>
      <c r="L255" s="4">
        <f>L254-L256</f>
        <v>11.46</v>
      </c>
      <c r="M255" s="4">
        <f t="shared" ref="M255:T255" si="202">M254-M256</f>
        <v>11.46</v>
      </c>
      <c r="N255" s="4">
        <f t="shared" si="202"/>
        <v>11.46</v>
      </c>
      <c r="O255" s="4">
        <f t="shared" si="202"/>
        <v>11.46</v>
      </c>
      <c r="P255" s="4">
        <f t="shared" si="202"/>
        <v>11.46</v>
      </c>
      <c r="Q255" s="4">
        <f t="shared" si="202"/>
        <v>11.46</v>
      </c>
      <c r="R255" s="4">
        <f t="shared" si="202"/>
        <v>11.46</v>
      </c>
      <c r="S255" s="4">
        <f t="shared" si="202"/>
        <v>11.46</v>
      </c>
      <c r="T255" s="4">
        <f t="shared" si="202"/>
        <v>11.46</v>
      </c>
    </row>
    <row r="256" spans="7:21" x14ac:dyDescent="0.3">
      <c r="H256" t="s">
        <v>2</v>
      </c>
      <c r="J256" s="11">
        <f>J254-J255</f>
        <v>2.9650000000000016</v>
      </c>
      <c r="K256" s="4">
        <f>IF(K253&lt;$L242+1,K254*($M238/$M239+$L237),K254*$L238)</f>
        <v>0</v>
      </c>
      <c r="L256" s="4">
        <f t="shared" ref="L256" si="203">IF(L253&lt;$L242+1,L254*(K256/K254+$M238/$M239),L254*$L238)</f>
        <v>0</v>
      </c>
      <c r="M256" s="4">
        <f t="shared" ref="M256" si="204">IF(M253&lt;$L242+1,M254*(L256/L254+$M238/$M239),M254*$L238)</f>
        <v>0</v>
      </c>
      <c r="N256" s="4">
        <f t="shared" ref="N256" si="205">IF(N253&lt;$L242+1,N254*(M256/M254+$M238/$M239),N254*$L238)</f>
        <v>0</v>
      </c>
      <c r="O256" s="4">
        <f t="shared" ref="O256" si="206">IF(O253&lt;$L242+1,O254*(N256/N254+$M238/$M239),O254*$L238)</f>
        <v>0</v>
      </c>
      <c r="P256" s="4">
        <f t="shared" ref="P256" si="207">IF(P253&lt;$L242+1,P254*(O256/O254+$M238/$M239),P254*$L238)</f>
        <v>0</v>
      </c>
      <c r="Q256" s="4">
        <f t="shared" ref="Q256" si="208">IF(Q253&lt;$L242+1,Q254*(P256/P254+$M238/$M239),Q254*$L238)</f>
        <v>0</v>
      </c>
      <c r="R256" s="4">
        <f t="shared" ref="R256" si="209">IF(R253&lt;$L242+1,R254*(Q256/Q254+$M238/$M239),R254*$L238)</f>
        <v>0</v>
      </c>
      <c r="S256" s="4">
        <f t="shared" ref="S256" si="210">IF(S253&lt;$L242+1,S254*(R256/R254+$M238/$M239),S254*$L238)</f>
        <v>0</v>
      </c>
      <c r="T256" s="4">
        <f t="shared" ref="T256" si="211">IF(T253&lt;$L242+1,T254*(S256/S254+$M238/$M239),T254*$L238)</f>
        <v>0</v>
      </c>
    </row>
    <row r="257" spans="8:21" x14ac:dyDescent="0.3">
      <c r="H257" t="s">
        <v>3</v>
      </c>
      <c r="J257" s="11">
        <f>[1]MMHistoricalFinancials!$B$7/1000</f>
        <v>1.5920000000000001</v>
      </c>
      <c r="K257" s="3">
        <f t="shared" ref="K257:T257" si="212">K254*$L249</f>
        <v>0</v>
      </c>
      <c r="L257" s="3">
        <f t="shared" si="212"/>
        <v>0</v>
      </c>
      <c r="M257" s="3">
        <f t="shared" si="212"/>
        <v>0</v>
      </c>
      <c r="N257" s="3">
        <f t="shared" si="212"/>
        <v>0</v>
      </c>
      <c r="O257" s="3">
        <f t="shared" si="212"/>
        <v>0</v>
      </c>
      <c r="P257" s="3">
        <f t="shared" si="212"/>
        <v>0</v>
      </c>
      <c r="Q257" s="3">
        <f t="shared" si="212"/>
        <v>0</v>
      </c>
      <c r="R257" s="3">
        <f t="shared" si="212"/>
        <v>0</v>
      </c>
      <c r="S257" s="3">
        <f t="shared" si="212"/>
        <v>0</v>
      </c>
      <c r="T257" s="3">
        <f t="shared" si="212"/>
        <v>0</v>
      </c>
    </row>
    <row r="258" spans="8:21" x14ac:dyDescent="0.3">
      <c r="H258" t="s">
        <v>87</v>
      </c>
      <c r="J258" s="11">
        <v>0.27800000000000002</v>
      </c>
      <c r="K258" s="3">
        <f>IF(K253&lt;$L245+1,J258*(1+$M244/$M245+$L243),J258*(1+$L244))</f>
        <v>0.27800000000000002</v>
      </c>
      <c r="L258" s="3">
        <f t="shared" ref="L258:T258" si="213">IF(L253&lt;$L245+1,K258*(1+$M244/$M245+$L243),K258*(1+$L244))</f>
        <v>0.27800000000000002</v>
      </c>
      <c r="M258" s="3">
        <f t="shared" si="213"/>
        <v>0.27800000000000002</v>
      </c>
      <c r="N258" s="3">
        <f t="shared" si="213"/>
        <v>0.27800000000000002</v>
      </c>
      <c r="O258" s="3">
        <f t="shared" si="213"/>
        <v>0.27800000000000002</v>
      </c>
      <c r="P258" s="3">
        <f t="shared" si="213"/>
        <v>0.27800000000000002</v>
      </c>
      <c r="Q258" s="3">
        <f t="shared" si="213"/>
        <v>0.27800000000000002</v>
      </c>
      <c r="R258" s="3">
        <f t="shared" si="213"/>
        <v>0.27800000000000002</v>
      </c>
      <c r="S258" s="3">
        <f t="shared" si="213"/>
        <v>0.27800000000000002</v>
      </c>
      <c r="T258" s="3">
        <f t="shared" si="213"/>
        <v>0.27800000000000002</v>
      </c>
    </row>
    <row r="259" spans="8:21" x14ac:dyDescent="0.3">
      <c r="H259" t="s">
        <v>4</v>
      </c>
      <c r="J259" s="11">
        <f>J256-J257+J258</f>
        <v>1.6510000000000016</v>
      </c>
      <c r="K259" s="4">
        <f>K256-K257+K258</f>
        <v>0.27800000000000002</v>
      </c>
      <c r="L259" s="4">
        <f t="shared" ref="L259" si="214">L256-L257+L258</f>
        <v>0.27800000000000002</v>
      </c>
      <c r="M259" s="4">
        <f t="shared" ref="M259" si="215">M256-M257+M258</f>
        <v>0.27800000000000002</v>
      </c>
      <c r="N259" s="4">
        <f t="shared" ref="N259" si="216">N256-N257+N258</f>
        <v>0.27800000000000002</v>
      </c>
      <c r="O259" s="4">
        <f t="shared" ref="O259" si="217">O256-O257+O258</f>
        <v>0.27800000000000002</v>
      </c>
      <c r="P259" s="4">
        <f t="shared" ref="P259" si="218">P256-P257+P258</f>
        <v>0.27800000000000002</v>
      </c>
      <c r="Q259" s="4">
        <f t="shared" ref="Q259" si="219">Q256-Q257+Q258</f>
        <v>0.27800000000000002</v>
      </c>
      <c r="R259" s="4">
        <f t="shared" ref="R259" si="220">R256-R257+R258</f>
        <v>0.27800000000000002</v>
      </c>
      <c r="S259" s="4">
        <f t="shared" ref="S259" si="221">S256-S257+S258</f>
        <v>0.27800000000000002</v>
      </c>
      <c r="T259" s="4">
        <f t="shared" ref="T259" si="222">T256-T257+T258</f>
        <v>0.27800000000000002</v>
      </c>
    </row>
    <row r="260" spans="8:21" x14ac:dyDescent="0.3">
      <c r="H260" t="s">
        <v>6</v>
      </c>
      <c r="J260" s="12">
        <f t="shared" ref="J260:T260" si="223">J259*$L247</f>
        <v>0</v>
      </c>
      <c r="K260" s="3">
        <f t="shared" si="223"/>
        <v>0</v>
      </c>
      <c r="L260" s="3">
        <f t="shared" si="223"/>
        <v>0</v>
      </c>
      <c r="M260" s="3">
        <f t="shared" si="223"/>
        <v>0</v>
      </c>
      <c r="N260" s="3">
        <f t="shared" si="223"/>
        <v>0</v>
      </c>
      <c r="O260" s="3">
        <f t="shared" si="223"/>
        <v>0</v>
      </c>
      <c r="P260" s="3">
        <f t="shared" si="223"/>
        <v>0</v>
      </c>
      <c r="Q260" s="3">
        <f t="shared" si="223"/>
        <v>0</v>
      </c>
      <c r="R260" s="3">
        <f t="shared" si="223"/>
        <v>0</v>
      </c>
      <c r="S260" s="3">
        <f t="shared" si="223"/>
        <v>0</v>
      </c>
      <c r="T260" s="3">
        <f t="shared" si="223"/>
        <v>0</v>
      </c>
    </row>
    <row r="261" spans="8:21" x14ac:dyDescent="0.3">
      <c r="H261" t="s">
        <v>7</v>
      </c>
      <c r="J261" s="12">
        <f>J259-J260</f>
        <v>1.6510000000000016</v>
      </c>
      <c r="K261" s="3">
        <f t="shared" ref="K261:T261" si="224">K259-K260</f>
        <v>0.27800000000000002</v>
      </c>
      <c r="L261" s="3">
        <f t="shared" si="224"/>
        <v>0.27800000000000002</v>
      </c>
      <c r="M261" s="3">
        <f t="shared" si="224"/>
        <v>0.27800000000000002</v>
      </c>
      <c r="N261" s="3">
        <f t="shared" si="224"/>
        <v>0.27800000000000002</v>
      </c>
      <c r="O261" s="3">
        <f t="shared" si="224"/>
        <v>0.27800000000000002</v>
      </c>
      <c r="P261" s="3">
        <f t="shared" si="224"/>
        <v>0.27800000000000002</v>
      </c>
      <c r="Q261" s="3">
        <f t="shared" si="224"/>
        <v>0.27800000000000002</v>
      </c>
      <c r="R261" s="3">
        <f t="shared" si="224"/>
        <v>0.27800000000000002</v>
      </c>
      <c r="S261" s="3">
        <f t="shared" si="224"/>
        <v>0.27800000000000002</v>
      </c>
      <c r="T261" s="3">
        <f t="shared" si="224"/>
        <v>0.27800000000000002</v>
      </c>
      <c r="U261" s="3"/>
    </row>
    <row r="262" spans="8:21" x14ac:dyDescent="0.3">
      <c r="H262" t="s">
        <v>8</v>
      </c>
      <c r="J262" s="12"/>
      <c r="K262" s="3">
        <f t="shared" ref="K262:T262" si="225">K261/(1+$L246)^(K253-2010)</f>
        <v>0.27800000000000002</v>
      </c>
      <c r="L262" s="3">
        <f t="shared" si="225"/>
        <v>0.27800000000000002</v>
      </c>
      <c r="M262" s="3">
        <f t="shared" si="225"/>
        <v>0.27800000000000002</v>
      </c>
      <c r="N262" s="3">
        <f t="shared" si="225"/>
        <v>0.27800000000000002</v>
      </c>
      <c r="O262" s="3">
        <f t="shared" si="225"/>
        <v>0.27800000000000002</v>
      </c>
      <c r="P262" s="3">
        <f t="shared" si="225"/>
        <v>0.27800000000000002</v>
      </c>
      <c r="Q262" s="3">
        <f t="shared" si="225"/>
        <v>0.27800000000000002</v>
      </c>
      <c r="R262" s="3">
        <f t="shared" si="225"/>
        <v>0.27800000000000002</v>
      </c>
      <c r="S262" s="3">
        <f t="shared" si="225"/>
        <v>0.27800000000000002</v>
      </c>
      <c r="T262" s="3">
        <f t="shared" si="225"/>
        <v>0.27800000000000002</v>
      </c>
      <c r="U262" s="3" t="e">
        <f>T262/(L246-L248)</f>
        <v>#DIV/0!</v>
      </c>
    </row>
    <row r="264" spans="8:21" x14ac:dyDescent="0.3">
      <c r="H264" t="s">
        <v>11</v>
      </c>
      <c r="J264" s="3" t="e">
        <f>SUM(J262:U262)</f>
        <v>#DIV/0!</v>
      </c>
    </row>
    <row r="269" spans="8:21" ht="15" thickBot="1" x14ac:dyDescent="0.35">
      <c r="H269" s="6" t="s">
        <v>104</v>
      </c>
      <c r="I269" s="7"/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  <c r="U269" s="7"/>
    </row>
    <row r="271" spans="8:21" x14ac:dyDescent="0.3">
      <c r="H271" s="2" t="s">
        <v>0</v>
      </c>
    </row>
    <row r="272" spans="8:21" x14ac:dyDescent="0.3">
      <c r="H272" t="s">
        <v>98</v>
      </c>
      <c r="L272" s="1">
        <v>0.25900000000000001</v>
      </c>
      <c r="N272" t="s">
        <v>80</v>
      </c>
    </row>
    <row r="273" spans="7:21" x14ac:dyDescent="0.3">
      <c r="G273" s="28" t="s">
        <v>81</v>
      </c>
      <c r="H273" s="29" t="s">
        <v>99</v>
      </c>
      <c r="L273" s="1">
        <v>0.35</v>
      </c>
      <c r="M273" s="1">
        <f>L273-L272</f>
        <v>9.099999999999997E-2</v>
      </c>
      <c r="N273" t="s">
        <v>82</v>
      </c>
    </row>
    <row r="274" spans="7:21" x14ac:dyDescent="0.3">
      <c r="G274" s="28" t="s">
        <v>81</v>
      </c>
      <c r="H274" s="29" t="s">
        <v>100</v>
      </c>
      <c r="L274" s="5">
        <v>2020</v>
      </c>
      <c r="M274" s="5">
        <f>L274-J$116</f>
        <v>10</v>
      </c>
      <c r="N274" t="s">
        <v>83</v>
      </c>
    </row>
    <row r="275" spans="7:21" x14ac:dyDescent="0.3">
      <c r="H275" t="s">
        <v>89</v>
      </c>
      <c r="L275" s="1">
        <v>0.03</v>
      </c>
      <c r="N275" t="s">
        <v>84</v>
      </c>
    </row>
    <row r="276" spans="7:21" x14ac:dyDescent="0.3">
      <c r="G276" s="28" t="s">
        <v>81</v>
      </c>
      <c r="H276" t="s">
        <v>90</v>
      </c>
      <c r="L276" s="1">
        <v>0.08</v>
      </c>
      <c r="M276" s="1">
        <f>L276-L275</f>
        <v>0.05</v>
      </c>
      <c r="N276" t="s">
        <v>85</v>
      </c>
    </row>
    <row r="277" spans="7:21" x14ac:dyDescent="0.3">
      <c r="G277" s="28" t="s">
        <v>81</v>
      </c>
      <c r="H277" t="s">
        <v>91</v>
      </c>
      <c r="L277" s="5">
        <v>2016</v>
      </c>
      <c r="M277" s="5">
        <f>L277-J$116</f>
        <v>6</v>
      </c>
      <c r="N277" t="s">
        <v>83</v>
      </c>
    </row>
    <row r="278" spans="7:21" x14ac:dyDescent="0.3">
      <c r="G278" s="28"/>
      <c r="H278" t="s">
        <v>88</v>
      </c>
      <c r="L278" s="1">
        <f>N$50</f>
        <v>0</v>
      </c>
      <c r="M278" s="5"/>
    </row>
    <row r="279" spans="7:21" x14ac:dyDescent="0.3">
      <c r="G279" s="28" t="s">
        <v>81</v>
      </c>
      <c r="H279" t="s">
        <v>96</v>
      </c>
      <c r="L279" s="1">
        <f>R$44</f>
        <v>0</v>
      </c>
      <c r="M279" s="1">
        <f>L279-L278</f>
        <v>0</v>
      </c>
      <c r="N279" t="s">
        <v>93</v>
      </c>
    </row>
    <row r="280" spans="7:21" x14ac:dyDescent="0.3">
      <c r="G280" s="28" t="s">
        <v>81</v>
      </c>
      <c r="H280" t="s">
        <v>92</v>
      </c>
      <c r="L280" s="5">
        <f>R$45</f>
        <v>0</v>
      </c>
      <c r="M280" s="5">
        <f>L280-J$78</f>
        <v>-2010</v>
      </c>
      <c r="N280" t="s">
        <v>83</v>
      </c>
    </row>
    <row r="281" spans="7:21" x14ac:dyDescent="0.3">
      <c r="H281" t="s">
        <v>15</v>
      </c>
      <c r="L281" s="1">
        <f>S$48</f>
        <v>0</v>
      </c>
    </row>
    <row r="282" spans="7:21" x14ac:dyDescent="0.3">
      <c r="H282" t="s">
        <v>5</v>
      </c>
      <c r="L282" s="1">
        <f>S$49</f>
        <v>0</v>
      </c>
    </row>
    <row r="283" spans="7:21" x14ac:dyDescent="0.3">
      <c r="H283" t="s">
        <v>10</v>
      </c>
      <c r="L283" s="1">
        <f>S$50</f>
        <v>0</v>
      </c>
    </row>
    <row r="284" spans="7:21" x14ac:dyDescent="0.3">
      <c r="H284" t="s">
        <v>23</v>
      </c>
      <c r="L284" s="1">
        <f>N$51</f>
        <v>0</v>
      </c>
    </row>
    <row r="285" spans="7:21" x14ac:dyDescent="0.3">
      <c r="H285" t="s">
        <v>86</v>
      </c>
    </row>
    <row r="287" spans="7:21" x14ac:dyDescent="0.3">
      <c r="J287" s="10" t="s">
        <v>12</v>
      </c>
      <c r="K287" s="13" t="s">
        <v>24</v>
      </c>
      <c r="L287" s="1"/>
      <c r="M287" s="1"/>
      <c r="N287" s="1"/>
      <c r="O287" s="1"/>
      <c r="P287" s="1"/>
      <c r="Q287" s="1"/>
      <c r="R287" s="1"/>
      <c r="S287" s="1"/>
      <c r="T287" s="1"/>
    </row>
    <row r="288" spans="7:21" x14ac:dyDescent="0.3">
      <c r="J288" s="10">
        <v>2010</v>
      </c>
      <c r="K288" s="2">
        <f>J288+1</f>
        <v>2011</v>
      </c>
      <c r="L288" s="2">
        <f t="shared" ref="L288" si="226">K288+1</f>
        <v>2012</v>
      </c>
      <c r="M288" s="2">
        <f t="shared" ref="M288" si="227">L288+1</f>
        <v>2013</v>
      </c>
      <c r="N288" s="2">
        <f t="shared" ref="N288" si="228">M288+1</f>
        <v>2014</v>
      </c>
      <c r="O288" s="2">
        <f t="shared" ref="O288" si="229">N288+1</f>
        <v>2015</v>
      </c>
      <c r="P288" s="2">
        <f t="shared" ref="P288" si="230">O288+1</f>
        <v>2016</v>
      </c>
      <c r="Q288" s="2">
        <f t="shared" ref="Q288" si="231">P288+1</f>
        <v>2017</v>
      </c>
      <c r="R288" s="2">
        <f t="shared" ref="R288" si="232">Q288+1</f>
        <v>2018</v>
      </c>
      <c r="S288" s="2">
        <f t="shared" ref="S288" si="233">R288+1</f>
        <v>2019</v>
      </c>
      <c r="T288" s="2">
        <f t="shared" ref="T288" si="234">S288+1</f>
        <v>2020</v>
      </c>
      <c r="U288" s="2" t="s">
        <v>9</v>
      </c>
    </row>
    <row r="289" spans="8:21" x14ac:dyDescent="0.3">
      <c r="H289" t="s">
        <v>1</v>
      </c>
      <c r="J289" s="11">
        <f>[1]MMHistoricalFinancials!$B$3/1000</f>
        <v>11.46</v>
      </c>
      <c r="K289" s="4">
        <f>IF(K288&lt;$L277+1,J289*(1+$M276/$M277+$L275),J289*(1+$L276))</f>
        <v>11.8993</v>
      </c>
      <c r="L289" s="4">
        <f t="shared" ref="L289" si="235">IF(L288&lt;$L277+1,K289*(1+(K289-J289)/J289+$M276/$M277),K289*(1+$L276))</f>
        <v>12.454600666666666</v>
      </c>
      <c r="M289" s="4">
        <f t="shared" ref="M289" si="236">IF(M288&lt;$L277+1,L289*(1+(L289-K289)/K289+$M276/$M277),L289*(1+$L276))</f>
        <v>13.139603703333332</v>
      </c>
      <c r="N289" s="4">
        <f t="shared" ref="N289" si="237">IF(N288&lt;$L277+1,M289*(1+(M289-L289)/L289+$M276/$M277),M289*(1+$L276))</f>
        <v>13.971778604544442</v>
      </c>
      <c r="O289" s="4">
        <f t="shared" ref="O289" si="238">IF(O288&lt;$L277+1,N289*(1+(N289-M289)/M289+$M276/$M277),N289*(1+$L276))</f>
        <v>14.973089404536791</v>
      </c>
      <c r="P289" s="4">
        <f t="shared" ref="P289" si="239">IF(P288&lt;$L277+1,O289*(1+(O289-N289)/N289+$M276/$M277),O289*(1+$L276))</f>
        <v>16.170936556899733</v>
      </c>
      <c r="Q289" s="4">
        <f t="shared" ref="Q289" si="240">IF(Q288&lt;$L277+1,P289*(1+(P289-O289)/O289+$M276/$M277),P289*(1+$L276))</f>
        <v>17.464611481451712</v>
      </c>
      <c r="R289" s="4">
        <f t="shared" ref="R289" si="241">IF(R288&lt;$L277+1,Q289*(1+(Q289-P289)/P289+$M276/$M277),Q289*(1+$L276))</f>
        <v>18.861780399967849</v>
      </c>
      <c r="S289" s="4">
        <f t="shared" ref="S289" si="242">IF(S288&lt;$L277+1,R289*(1+(R289-Q289)/Q289+$M276/$M277),R289*(1+$L276))</f>
        <v>20.370722831965278</v>
      </c>
      <c r="T289" s="4">
        <f t="shared" ref="T289" si="243">IF(T288&lt;$L277+1,S289*(1+(S289-R289)/R289+$M276/$M277),S289*(1+$L276))</f>
        <v>22.000380658522502</v>
      </c>
    </row>
    <row r="290" spans="8:21" x14ac:dyDescent="0.3">
      <c r="H290" t="s">
        <v>13</v>
      </c>
      <c r="J290" s="11">
        <f>[1]MMHistoricalFinancials!$B$4/1000</f>
        <v>8.4949999999999992</v>
      </c>
      <c r="K290" s="4">
        <f>K289-K291</f>
        <v>8.7090976700000002</v>
      </c>
      <c r="L290" s="4">
        <f>L289-L291</f>
        <v>9.0021853618666654</v>
      </c>
      <c r="M290" s="4">
        <f t="shared" ref="M290:T290" si="244">M289-M291</f>
        <v>9.3777351630689996</v>
      </c>
      <c r="N290" s="4">
        <f t="shared" si="244"/>
        <v>9.8445152047620148</v>
      </c>
      <c r="O290" s="4">
        <f t="shared" si="244"/>
        <v>10.413783680855339</v>
      </c>
      <c r="P290" s="4">
        <f t="shared" si="244"/>
        <v>11.099730852655977</v>
      </c>
      <c r="Q290" s="4">
        <f t="shared" si="244"/>
        <v>11.351997462943613</v>
      </c>
      <c r="R290" s="4">
        <f t="shared" si="244"/>
        <v>12.260157259979103</v>
      </c>
      <c r="S290" s="4">
        <f t="shared" si="244"/>
        <v>13.240969840777431</v>
      </c>
      <c r="T290" s="4">
        <f t="shared" si="244"/>
        <v>14.300247428039626</v>
      </c>
    </row>
    <row r="291" spans="8:21" x14ac:dyDescent="0.3">
      <c r="H291" t="s">
        <v>2</v>
      </c>
      <c r="J291" s="11">
        <f>J289-J290</f>
        <v>2.9650000000000016</v>
      </c>
      <c r="K291" s="4">
        <f>IF(K288&lt;$L277+1,K289*($M273/$M274+$L272),K289*$L273)</f>
        <v>3.19020233</v>
      </c>
      <c r="L291" s="4">
        <f t="shared" ref="L291" si="245">IF(L288&lt;$L277+1,L289*(K291/K289+$M273/$M274),L289*$L273)</f>
        <v>3.4524153047999997</v>
      </c>
      <c r="M291" s="4">
        <f t="shared" ref="M291" si="246">IF(M288&lt;$L277+1,M289*(L291/L289+$M273/$M274),M289*$L273)</f>
        <v>3.761868540264333</v>
      </c>
      <c r="N291" s="4">
        <f t="shared" ref="N291" si="247">IF(N288&lt;$L277+1,N289*(M291/M289+$M273/$M274),N289*$L273)</f>
        <v>4.1272633997824277</v>
      </c>
      <c r="O291" s="4">
        <f t="shared" ref="O291" si="248">IF(O288&lt;$L277+1,O289*(N291/N289+$M273/$M274),O289*$L273)</f>
        <v>4.5593057236814527</v>
      </c>
      <c r="P291" s="4">
        <f t="shared" ref="P291" si="249">IF(P288&lt;$L277+1,P289*(O291/O289+$M273/$M274),P289*$L273)</f>
        <v>5.0712057042437557</v>
      </c>
      <c r="Q291" s="4">
        <f t="shared" ref="Q291" si="250">IF(Q288&lt;$L277+1,Q289*(P291/P289+$M273/$M274),Q289*$L273)</f>
        <v>6.1126140185080988</v>
      </c>
      <c r="R291" s="4">
        <f t="shared" ref="R291" si="251">IF(R288&lt;$L277+1,R289*(Q291/Q289+$M273/$M274),R289*$L273)</f>
        <v>6.6016231399887468</v>
      </c>
      <c r="S291" s="4">
        <f t="shared" ref="S291" si="252">IF(S288&lt;$L277+1,S289*(R291/R289+$M273/$M274),S289*$L273)</f>
        <v>7.1297529911878463</v>
      </c>
      <c r="T291" s="4">
        <f t="shared" ref="T291" si="253">IF(T288&lt;$L277+1,T289*(S291/S289+$M273/$M274),T289*$L273)</f>
        <v>7.7001332304828756</v>
      </c>
    </row>
    <row r="292" spans="8:21" x14ac:dyDescent="0.3">
      <c r="H292" t="s">
        <v>3</v>
      </c>
      <c r="J292" s="11">
        <f>[1]MMHistoricalFinancials!$B$7/1000</f>
        <v>1.5920000000000001</v>
      </c>
      <c r="K292" s="3">
        <f t="shared" ref="K292:T292" si="254">K289*$L284</f>
        <v>0</v>
      </c>
      <c r="L292" s="3">
        <f t="shared" si="254"/>
        <v>0</v>
      </c>
      <c r="M292" s="3">
        <f t="shared" si="254"/>
        <v>0</v>
      </c>
      <c r="N292" s="3">
        <f t="shared" si="254"/>
        <v>0</v>
      </c>
      <c r="O292" s="3">
        <f t="shared" si="254"/>
        <v>0</v>
      </c>
      <c r="P292" s="3">
        <f t="shared" si="254"/>
        <v>0</v>
      </c>
      <c r="Q292" s="3">
        <f t="shared" si="254"/>
        <v>0</v>
      </c>
      <c r="R292" s="3">
        <f t="shared" si="254"/>
        <v>0</v>
      </c>
      <c r="S292" s="3">
        <f t="shared" si="254"/>
        <v>0</v>
      </c>
      <c r="T292" s="3">
        <f t="shared" si="254"/>
        <v>0</v>
      </c>
    </row>
    <row r="293" spans="8:21" x14ac:dyDescent="0.3">
      <c r="H293" t="s">
        <v>87</v>
      </c>
      <c r="J293" s="11">
        <v>0.27800000000000002</v>
      </c>
      <c r="K293" s="3">
        <f>IF(K288&lt;$L280+1,J293*(1+$M279/$M280+$L278),J293*(1+$L279))</f>
        <v>0.27800000000000002</v>
      </c>
      <c r="L293" s="3">
        <f t="shared" ref="L293:T293" si="255">IF(L288&lt;$L280+1,K293*(1+$M279/$M280+$L278),K293*(1+$L279))</f>
        <v>0.27800000000000002</v>
      </c>
      <c r="M293" s="3">
        <f t="shared" si="255"/>
        <v>0.27800000000000002</v>
      </c>
      <c r="N293" s="3">
        <f t="shared" si="255"/>
        <v>0.27800000000000002</v>
      </c>
      <c r="O293" s="3">
        <f t="shared" si="255"/>
        <v>0.27800000000000002</v>
      </c>
      <c r="P293" s="3">
        <f t="shared" si="255"/>
        <v>0.27800000000000002</v>
      </c>
      <c r="Q293" s="3">
        <f t="shared" si="255"/>
        <v>0.27800000000000002</v>
      </c>
      <c r="R293" s="3">
        <f t="shared" si="255"/>
        <v>0.27800000000000002</v>
      </c>
      <c r="S293" s="3">
        <f t="shared" si="255"/>
        <v>0.27800000000000002</v>
      </c>
      <c r="T293" s="3">
        <f t="shared" si="255"/>
        <v>0.27800000000000002</v>
      </c>
    </row>
    <row r="294" spans="8:21" x14ac:dyDescent="0.3">
      <c r="H294" t="s">
        <v>4</v>
      </c>
      <c r="J294" s="11">
        <f>J291-J292+J293</f>
        <v>1.6510000000000016</v>
      </c>
      <c r="K294" s="4">
        <f>K291-K292+K293</f>
        <v>3.46820233</v>
      </c>
      <c r="L294" s="4">
        <f t="shared" ref="L294" si="256">L291-L292+L293</f>
        <v>3.7304153047999997</v>
      </c>
      <c r="M294" s="4">
        <f t="shared" ref="M294" si="257">M291-M292+M293</f>
        <v>4.0398685402643331</v>
      </c>
      <c r="N294" s="4">
        <f t="shared" ref="N294" si="258">N291-N292+N293</f>
        <v>4.4052633997824273</v>
      </c>
      <c r="O294" s="4">
        <f t="shared" ref="O294" si="259">O291-O292+O293</f>
        <v>4.8373057236814532</v>
      </c>
      <c r="P294" s="4">
        <f t="shared" ref="P294" si="260">P291-P292+P293</f>
        <v>5.3492057042437562</v>
      </c>
      <c r="Q294" s="4">
        <f t="shared" ref="Q294" si="261">Q291-Q292+Q293</f>
        <v>6.3906140185080993</v>
      </c>
      <c r="R294" s="4">
        <f t="shared" ref="R294" si="262">R291-R292+R293</f>
        <v>6.8796231399887464</v>
      </c>
      <c r="S294" s="4">
        <f t="shared" ref="S294" si="263">S291-S292+S293</f>
        <v>7.4077529911878468</v>
      </c>
      <c r="T294" s="4">
        <f t="shared" ref="T294" si="264">T291-T292+T293</f>
        <v>7.9781332304828751</v>
      </c>
    </row>
    <row r="295" spans="8:21" x14ac:dyDescent="0.3">
      <c r="H295" t="s">
        <v>6</v>
      </c>
      <c r="J295" s="12">
        <f t="shared" ref="J295:T295" si="265">J294*$L282</f>
        <v>0</v>
      </c>
      <c r="K295" s="3">
        <f t="shared" si="265"/>
        <v>0</v>
      </c>
      <c r="L295" s="3">
        <f t="shared" si="265"/>
        <v>0</v>
      </c>
      <c r="M295" s="3">
        <f t="shared" si="265"/>
        <v>0</v>
      </c>
      <c r="N295" s="3">
        <f t="shared" si="265"/>
        <v>0</v>
      </c>
      <c r="O295" s="3">
        <f t="shared" si="265"/>
        <v>0</v>
      </c>
      <c r="P295" s="3">
        <f t="shared" si="265"/>
        <v>0</v>
      </c>
      <c r="Q295" s="3">
        <f t="shared" si="265"/>
        <v>0</v>
      </c>
      <c r="R295" s="3">
        <f t="shared" si="265"/>
        <v>0</v>
      </c>
      <c r="S295" s="3">
        <f t="shared" si="265"/>
        <v>0</v>
      </c>
      <c r="T295" s="3">
        <f t="shared" si="265"/>
        <v>0</v>
      </c>
    </row>
    <row r="296" spans="8:21" x14ac:dyDescent="0.3">
      <c r="H296" t="s">
        <v>7</v>
      </c>
      <c r="J296" s="12">
        <f>J294-J295</f>
        <v>1.6510000000000016</v>
      </c>
      <c r="K296" s="3">
        <f t="shared" ref="K296:T296" si="266">K294-K295</f>
        <v>3.46820233</v>
      </c>
      <c r="L296" s="3">
        <f t="shared" si="266"/>
        <v>3.7304153047999997</v>
      </c>
      <c r="M296" s="3">
        <f t="shared" si="266"/>
        <v>4.0398685402643331</v>
      </c>
      <c r="N296" s="3">
        <f t="shared" si="266"/>
        <v>4.4052633997824273</v>
      </c>
      <c r="O296" s="3">
        <f t="shared" si="266"/>
        <v>4.8373057236814532</v>
      </c>
      <c r="P296" s="3">
        <f t="shared" si="266"/>
        <v>5.3492057042437562</v>
      </c>
      <c r="Q296" s="3">
        <f t="shared" si="266"/>
        <v>6.3906140185080993</v>
      </c>
      <c r="R296" s="3">
        <f t="shared" si="266"/>
        <v>6.8796231399887464</v>
      </c>
      <c r="S296" s="3">
        <f t="shared" si="266"/>
        <v>7.4077529911878468</v>
      </c>
      <c r="T296" s="3">
        <f t="shared" si="266"/>
        <v>7.9781332304828751</v>
      </c>
      <c r="U296" s="3"/>
    </row>
    <row r="297" spans="8:21" x14ac:dyDescent="0.3">
      <c r="H297" t="s">
        <v>8</v>
      </c>
      <c r="J297" s="12"/>
      <c r="K297" s="3">
        <f t="shared" ref="K297:T297" si="267">K296/(1+$L281)^(K288-2010)</f>
        <v>3.46820233</v>
      </c>
      <c r="L297" s="3">
        <f t="shared" si="267"/>
        <v>3.7304153047999997</v>
      </c>
      <c r="M297" s="3">
        <f t="shared" si="267"/>
        <v>4.0398685402643331</v>
      </c>
      <c r="N297" s="3">
        <f t="shared" si="267"/>
        <v>4.4052633997824273</v>
      </c>
      <c r="O297" s="3">
        <f t="shared" si="267"/>
        <v>4.8373057236814532</v>
      </c>
      <c r="P297" s="3">
        <f t="shared" si="267"/>
        <v>5.3492057042437562</v>
      </c>
      <c r="Q297" s="3">
        <f t="shared" si="267"/>
        <v>6.3906140185080993</v>
      </c>
      <c r="R297" s="3">
        <f t="shared" si="267"/>
        <v>6.8796231399887464</v>
      </c>
      <c r="S297" s="3">
        <f t="shared" si="267"/>
        <v>7.4077529911878468</v>
      </c>
      <c r="T297" s="3">
        <f t="shared" si="267"/>
        <v>7.9781332304828751</v>
      </c>
      <c r="U297" s="3" t="e">
        <f>T297/(L281-L283)</f>
        <v>#DIV/0!</v>
      </c>
    </row>
    <row r="299" spans="8:21" x14ac:dyDescent="0.3">
      <c r="H299" t="s">
        <v>11</v>
      </c>
      <c r="J299" s="3" t="e">
        <f>SUM(J297:U297)</f>
        <v>#DIV/0!</v>
      </c>
    </row>
    <row r="303" spans="8:21" ht="15" thickBot="1" x14ac:dyDescent="0.35">
      <c r="H303" s="6" t="s">
        <v>105</v>
      </c>
      <c r="I303" s="7"/>
      <c r="J303" s="7"/>
      <c r="K303" s="7"/>
      <c r="L303" s="7"/>
      <c r="M303" s="7"/>
      <c r="N303" s="7"/>
      <c r="O303" s="7"/>
      <c r="P303" s="7"/>
      <c r="Q303" s="7"/>
      <c r="R303" s="7"/>
      <c r="S303" s="7"/>
      <c r="T303" s="7"/>
      <c r="U303" s="7"/>
    </row>
    <row r="305" spans="7:14" x14ac:dyDescent="0.3">
      <c r="H305" s="2" t="s">
        <v>0</v>
      </c>
    </row>
    <row r="306" spans="7:14" x14ac:dyDescent="0.3">
      <c r="H306" t="s">
        <v>98</v>
      </c>
      <c r="L306" s="1">
        <f>N$48</f>
        <v>0</v>
      </c>
      <c r="N306" t="s">
        <v>80</v>
      </c>
    </row>
    <row r="307" spans="7:14" x14ac:dyDescent="0.3">
      <c r="G307" s="28" t="s">
        <v>81</v>
      </c>
      <c r="H307" s="29" t="s">
        <v>99</v>
      </c>
      <c r="L307" s="1">
        <f>P$36</f>
        <v>0</v>
      </c>
      <c r="M307" s="1">
        <f>L307-L306</f>
        <v>0</v>
      </c>
      <c r="N307" t="s">
        <v>82</v>
      </c>
    </row>
    <row r="308" spans="7:14" x14ac:dyDescent="0.3">
      <c r="G308" s="28" t="s">
        <v>81</v>
      </c>
      <c r="H308" s="29" t="s">
        <v>100</v>
      </c>
      <c r="L308" s="5">
        <f>P$37</f>
        <v>0</v>
      </c>
      <c r="M308" s="5">
        <f>L308-J$116</f>
        <v>-2010</v>
      </c>
      <c r="N308" t="s">
        <v>83</v>
      </c>
    </row>
    <row r="309" spans="7:14" x14ac:dyDescent="0.3">
      <c r="H309" t="s">
        <v>89</v>
      </c>
      <c r="L309" s="1">
        <f>N$49</f>
        <v>0</v>
      </c>
      <c r="N309" t="s">
        <v>84</v>
      </c>
    </row>
    <row r="310" spans="7:14" x14ac:dyDescent="0.3">
      <c r="G310" s="28" t="s">
        <v>81</v>
      </c>
      <c r="H310" t="s">
        <v>90</v>
      </c>
      <c r="L310" s="1">
        <f>P$38</f>
        <v>0</v>
      </c>
      <c r="M310" s="1">
        <f>L310-L309</f>
        <v>0</v>
      </c>
      <c r="N310" t="s">
        <v>85</v>
      </c>
    </row>
    <row r="311" spans="7:14" x14ac:dyDescent="0.3">
      <c r="G311" s="28" t="s">
        <v>81</v>
      </c>
      <c r="H311" t="s">
        <v>91</v>
      </c>
      <c r="L311" s="5">
        <f>P$39</f>
        <v>0</v>
      </c>
      <c r="M311" s="5">
        <f>L311-J$116</f>
        <v>-2010</v>
      </c>
      <c r="N311" t="s">
        <v>83</v>
      </c>
    </row>
    <row r="312" spans="7:14" x14ac:dyDescent="0.3">
      <c r="G312" s="28"/>
      <c r="H312" t="s">
        <v>88</v>
      </c>
      <c r="L312" s="1">
        <f>N$50</f>
        <v>0</v>
      </c>
      <c r="M312" s="5"/>
    </row>
    <row r="313" spans="7:14" x14ac:dyDescent="0.3">
      <c r="G313" s="28" t="s">
        <v>81</v>
      </c>
      <c r="H313" t="s">
        <v>96</v>
      </c>
      <c r="L313" s="1">
        <f>Q$44</f>
        <v>0</v>
      </c>
      <c r="M313" s="1">
        <f>L313-L312</f>
        <v>0</v>
      </c>
      <c r="N313" t="s">
        <v>93</v>
      </c>
    </row>
    <row r="314" spans="7:14" x14ac:dyDescent="0.3">
      <c r="G314" s="28" t="s">
        <v>81</v>
      </c>
      <c r="H314" t="s">
        <v>92</v>
      </c>
      <c r="L314" s="5">
        <f>Q$45</f>
        <v>0</v>
      </c>
      <c r="M314" s="5">
        <f>L314-J$78</f>
        <v>-2010</v>
      </c>
      <c r="N314" t="s">
        <v>83</v>
      </c>
    </row>
    <row r="315" spans="7:14" x14ac:dyDescent="0.3">
      <c r="H315" t="s">
        <v>15</v>
      </c>
      <c r="L315" s="1">
        <f>S$48</f>
        <v>0</v>
      </c>
    </row>
    <row r="316" spans="7:14" x14ac:dyDescent="0.3">
      <c r="H316" t="s">
        <v>5</v>
      </c>
      <c r="L316" s="1">
        <f>S$49</f>
        <v>0</v>
      </c>
    </row>
    <row r="317" spans="7:14" x14ac:dyDescent="0.3">
      <c r="H317" t="s">
        <v>10</v>
      </c>
      <c r="L317" s="1">
        <f>S$50</f>
        <v>0</v>
      </c>
    </row>
    <row r="318" spans="7:14" x14ac:dyDescent="0.3">
      <c r="H318" t="s">
        <v>23</v>
      </c>
      <c r="L318" s="1">
        <f>N$51</f>
        <v>0</v>
      </c>
    </row>
    <row r="319" spans="7:14" x14ac:dyDescent="0.3">
      <c r="H319" t="s">
        <v>86</v>
      </c>
    </row>
    <row r="321" spans="8:21" x14ac:dyDescent="0.3">
      <c r="J321" s="10" t="s">
        <v>12</v>
      </c>
      <c r="K321" s="13" t="s">
        <v>24</v>
      </c>
      <c r="L321" s="1"/>
      <c r="M321" s="1"/>
      <c r="N321" s="1"/>
      <c r="O321" s="1"/>
      <c r="P321" s="1"/>
      <c r="Q321" s="1"/>
      <c r="R321" s="1"/>
      <c r="S321" s="1"/>
      <c r="T321" s="1"/>
    </row>
    <row r="322" spans="8:21" x14ac:dyDescent="0.3">
      <c r="J322" s="10">
        <v>2010</v>
      </c>
      <c r="K322" s="2">
        <f>J322+1</f>
        <v>2011</v>
      </c>
      <c r="L322" s="2">
        <f t="shared" ref="L322" si="268">K322+1</f>
        <v>2012</v>
      </c>
      <c r="M322" s="2">
        <f t="shared" ref="M322" si="269">L322+1</f>
        <v>2013</v>
      </c>
      <c r="N322" s="2">
        <f t="shared" ref="N322" si="270">M322+1</f>
        <v>2014</v>
      </c>
      <c r="O322" s="2">
        <f t="shared" ref="O322" si="271">N322+1</f>
        <v>2015</v>
      </c>
      <c r="P322" s="2">
        <f t="shared" ref="P322" si="272">O322+1</f>
        <v>2016</v>
      </c>
      <c r="Q322" s="2">
        <f t="shared" ref="Q322" si="273">P322+1</f>
        <v>2017</v>
      </c>
      <c r="R322" s="2">
        <f t="shared" ref="R322" si="274">Q322+1</f>
        <v>2018</v>
      </c>
      <c r="S322" s="2">
        <f t="shared" ref="S322" si="275">R322+1</f>
        <v>2019</v>
      </c>
      <c r="T322" s="2">
        <f t="shared" ref="T322" si="276">S322+1</f>
        <v>2020</v>
      </c>
      <c r="U322" s="2" t="s">
        <v>9</v>
      </c>
    </row>
    <row r="323" spans="8:21" x14ac:dyDescent="0.3">
      <c r="H323" t="s">
        <v>1</v>
      </c>
      <c r="J323" s="11">
        <f>[1]MMHistoricalFinancials!$B$3/1000</f>
        <v>11.46</v>
      </c>
      <c r="K323" s="4">
        <f>IF(K322&lt;$L311+1,J323*(1+$M310/$M311+$L309),J323*(1+$L310))</f>
        <v>11.46</v>
      </c>
      <c r="L323" s="4">
        <f t="shared" ref="L323" si="277">IF(L322&lt;$L311+1,K323*(1+(K323-J323)/J323+$M310/$M311),K323*(1+$L310))</f>
        <v>11.46</v>
      </c>
      <c r="M323" s="4">
        <f t="shared" ref="M323" si="278">IF(M322&lt;$L311+1,L323*(1+(L323-K323)/K323+$M310/$M311),L323*(1+$L310))</f>
        <v>11.46</v>
      </c>
      <c r="N323" s="4">
        <f t="shared" ref="N323" si="279">IF(N322&lt;$L311+1,M323*(1+(M323-L323)/L323+$M310/$M311),M323*(1+$L310))</f>
        <v>11.46</v>
      </c>
      <c r="O323" s="4">
        <f t="shared" ref="O323" si="280">IF(O322&lt;$L311+1,N323*(1+(N323-M323)/M323+$M310/$M311),N323*(1+$L310))</f>
        <v>11.46</v>
      </c>
      <c r="P323" s="4">
        <f t="shared" ref="P323" si="281">IF(P322&lt;$L311+1,O323*(1+(O323-N323)/N323+$M310/$M311),O323*(1+$L310))</f>
        <v>11.46</v>
      </c>
      <c r="Q323" s="4">
        <f t="shared" ref="Q323" si="282">IF(Q322&lt;$L311+1,P323*(1+(P323-O323)/O323+$M310/$M311),P323*(1+$L310))</f>
        <v>11.46</v>
      </c>
      <c r="R323" s="4">
        <f t="shared" ref="R323" si="283">IF(R322&lt;$L311+1,Q323*(1+(Q323-P323)/P323+$M310/$M311),Q323*(1+$L310))</f>
        <v>11.46</v>
      </c>
      <c r="S323" s="4">
        <f t="shared" ref="S323" si="284">IF(S322&lt;$L311+1,R323*(1+(R323-Q323)/Q323+$M310/$M311),R323*(1+$L310))</f>
        <v>11.46</v>
      </c>
      <c r="T323" s="4">
        <f t="shared" ref="T323" si="285">IF(T322&lt;$L311+1,S323*(1+(S323-R323)/R323+$M310/$M311),S323*(1+$L310))</f>
        <v>11.46</v>
      </c>
    </row>
    <row r="324" spans="8:21" x14ac:dyDescent="0.3">
      <c r="H324" t="s">
        <v>13</v>
      </c>
      <c r="J324" s="11">
        <f>[1]MMHistoricalFinancials!$B$4/1000</f>
        <v>8.4949999999999992</v>
      </c>
      <c r="K324" s="4">
        <f>K323-K325</f>
        <v>11.46</v>
      </c>
      <c r="L324" s="4">
        <f>L323-L325</f>
        <v>11.46</v>
      </c>
      <c r="M324" s="4">
        <f t="shared" ref="M324:T324" si="286">M323-M325</f>
        <v>11.46</v>
      </c>
      <c r="N324" s="4">
        <f t="shared" si="286"/>
        <v>11.46</v>
      </c>
      <c r="O324" s="4">
        <f t="shared" si="286"/>
        <v>11.46</v>
      </c>
      <c r="P324" s="4">
        <f t="shared" si="286"/>
        <v>11.46</v>
      </c>
      <c r="Q324" s="4">
        <f t="shared" si="286"/>
        <v>11.46</v>
      </c>
      <c r="R324" s="4">
        <f t="shared" si="286"/>
        <v>11.46</v>
      </c>
      <c r="S324" s="4">
        <f t="shared" si="286"/>
        <v>11.46</v>
      </c>
      <c r="T324" s="4">
        <f t="shared" si="286"/>
        <v>11.46</v>
      </c>
    </row>
    <row r="325" spans="8:21" x14ac:dyDescent="0.3">
      <c r="H325" t="s">
        <v>2</v>
      </c>
      <c r="J325" s="11">
        <f>J323-J324</f>
        <v>2.9650000000000016</v>
      </c>
      <c r="K325" s="4">
        <f>IF(K322&lt;$L311+1,K323*($M307/$M308+$L306),K323*$L307)</f>
        <v>0</v>
      </c>
      <c r="L325" s="4">
        <f t="shared" ref="L325" si="287">IF(L322&lt;$L311+1,L323*(K325/K323+$M307/$M308),L323*$L307)</f>
        <v>0</v>
      </c>
      <c r="M325" s="4">
        <f t="shared" ref="M325" si="288">IF(M322&lt;$L311+1,M323*(L325/L323+$M307/$M308),M323*$L307)</f>
        <v>0</v>
      </c>
      <c r="N325" s="4">
        <f t="shared" ref="N325" si="289">IF(N322&lt;$L311+1,N323*(M325/M323+$M307/$M308),N323*$L307)</f>
        <v>0</v>
      </c>
      <c r="O325" s="4">
        <f t="shared" ref="O325" si="290">IF(O322&lt;$L311+1,O323*(N325/N323+$M307/$M308),O323*$L307)</f>
        <v>0</v>
      </c>
      <c r="P325" s="4">
        <f t="shared" ref="P325" si="291">IF(P322&lt;$L311+1,P323*(O325/O323+$M307/$M308),P323*$L307)</f>
        <v>0</v>
      </c>
      <c r="Q325" s="4">
        <f t="shared" ref="Q325" si="292">IF(Q322&lt;$L311+1,Q323*(P325/P323+$M307/$M308),Q323*$L307)</f>
        <v>0</v>
      </c>
      <c r="R325" s="4">
        <f t="shared" ref="R325" si="293">IF(R322&lt;$L311+1,R323*(Q325/Q323+$M307/$M308),R323*$L307)</f>
        <v>0</v>
      </c>
      <c r="S325" s="4">
        <f t="shared" ref="S325" si="294">IF(S322&lt;$L311+1,S323*(R325/R323+$M307/$M308),S323*$L307)</f>
        <v>0</v>
      </c>
      <c r="T325" s="4">
        <f t="shared" ref="T325" si="295">IF(T322&lt;$L311+1,T323*(S325/S323+$M307/$M308),T323*$L307)</f>
        <v>0</v>
      </c>
    </row>
    <row r="326" spans="8:21" x14ac:dyDescent="0.3">
      <c r="H326" t="s">
        <v>3</v>
      </c>
      <c r="J326" s="11">
        <f>[1]MMHistoricalFinancials!$B$7/1000</f>
        <v>1.5920000000000001</v>
      </c>
      <c r="K326" s="3">
        <f t="shared" ref="K326:T326" si="296">K323*$L318</f>
        <v>0</v>
      </c>
      <c r="L326" s="3">
        <f t="shared" si="296"/>
        <v>0</v>
      </c>
      <c r="M326" s="3">
        <f t="shared" si="296"/>
        <v>0</v>
      </c>
      <c r="N326" s="3">
        <f t="shared" si="296"/>
        <v>0</v>
      </c>
      <c r="O326" s="3">
        <f t="shared" si="296"/>
        <v>0</v>
      </c>
      <c r="P326" s="3">
        <f t="shared" si="296"/>
        <v>0</v>
      </c>
      <c r="Q326" s="3">
        <f t="shared" si="296"/>
        <v>0</v>
      </c>
      <c r="R326" s="3">
        <f t="shared" si="296"/>
        <v>0</v>
      </c>
      <c r="S326" s="3">
        <f t="shared" si="296"/>
        <v>0</v>
      </c>
      <c r="T326" s="3">
        <f t="shared" si="296"/>
        <v>0</v>
      </c>
    </row>
    <row r="327" spans="8:21" x14ac:dyDescent="0.3">
      <c r="H327" t="s">
        <v>87</v>
      </c>
      <c r="J327" s="11">
        <v>0.27800000000000002</v>
      </c>
      <c r="K327" s="3">
        <f>IF(K322&lt;$L314+1,J327*(1+$M313/$M314+$L312),J327*(1+$L313))</f>
        <v>0.27800000000000002</v>
      </c>
      <c r="L327" s="3">
        <f t="shared" ref="L327:T327" si="297">IF(L322&lt;$L314+1,K327*(1+$M313/$M314+$L312),K327*(1+$L313))</f>
        <v>0.27800000000000002</v>
      </c>
      <c r="M327" s="3">
        <f t="shared" si="297"/>
        <v>0.27800000000000002</v>
      </c>
      <c r="N327" s="3">
        <f t="shared" si="297"/>
        <v>0.27800000000000002</v>
      </c>
      <c r="O327" s="3">
        <f t="shared" si="297"/>
        <v>0.27800000000000002</v>
      </c>
      <c r="P327" s="3">
        <f t="shared" si="297"/>
        <v>0.27800000000000002</v>
      </c>
      <c r="Q327" s="3">
        <f t="shared" si="297"/>
        <v>0.27800000000000002</v>
      </c>
      <c r="R327" s="3">
        <f t="shared" si="297"/>
        <v>0.27800000000000002</v>
      </c>
      <c r="S327" s="3">
        <f t="shared" si="297"/>
        <v>0.27800000000000002</v>
      </c>
      <c r="T327" s="3">
        <f t="shared" si="297"/>
        <v>0.27800000000000002</v>
      </c>
    </row>
    <row r="328" spans="8:21" x14ac:dyDescent="0.3">
      <c r="H328" t="s">
        <v>4</v>
      </c>
      <c r="J328" s="11">
        <f>J325-J326+J327</f>
        <v>1.6510000000000016</v>
      </c>
      <c r="K328" s="4">
        <f>K325-K326+K327</f>
        <v>0.27800000000000002</v>
      </c>
      <c r="L328" s="4">
        <f t="shared" ref="L328" si="298">L325-L326+L327</f>
        <v>0.27800000000000002</v>
      </c>
      <c r="M328" s="4">
        <f t="shared" ref="M328" si="299">M325-M326+M327</f>
        <v>0.27800000000000002</v>
      </c>
      <c r="N328" s="4">
        <f t="shared" ref="N328" si="300">N325-N326+N327</f>
        <v>0.27800000000000002</v>
      </c>
      <c r="O328" s="4">
        <f t="shared" ref="O328" si="301">O325-O326+O327</f>
        <v>0.27800000000000002</v>
      </c>
      <c r="P328" s="4">
        <f t="shared" ref="P328" si="302">P325-P326+P327</f>
        <v>0.27800000000000002</v>
      </c>
      <c r="Q328" s="4">
        <f t="shared" ref="Q328" si="303">Q325-Q326+Q327</f>
        <v>0.27800000000000002</v>
      </c>
      <c r="R328" s="4">
        <f t="shared" ref="R328" si="304">R325-R326+R327</f>
        <v>0.27800000000000002</v>
      </c>
      <c r="S328" s="4">
        <f t="shared" ref="S328" si="305">S325-S326+S327</f>
        <v>0.27800000000000002</v>
      </c>
      <c r="T328" s="4">
        <f t="shared" ref="T328" si="306">T325-T326+T327</f>
        <v>0.27800000000000002</v>
      </c>
    </row>
    <row r="329" spans="8:21" x14ac:dyDescent="0.3">
      <c r="H329" t="s">
        <v>6</v>
      </c>
      <c r="J329" s="12">
        <f t="shared" ref="J329:T329" si="307">J328*$L316</f>
        <v>0</v>
      </c>
      <c r="K329" s="3">
        <f t="shared" si="307"/>
        <v>0</v>
      </c>
      <c r="L329" s="3">
        <f t="shared" si="307"/>
        <v>0</v>
      </c>
      <c r="M329" s="3">
        <f t="shared" si="307"/>
        <v>0</v>
      </c>
      <c r="N329" s="3">
        <f t="shared" si="307"/>
        <v>0</v>
      </c>
      <c r="O329" s="3">
        <f t="shared" si="307"/>
        <v>0</v>
      </c>
      <c r="P329" s="3">
        <f t="shared" si="307"/>
        <v>0</v>
      </c>
      <c r="Q329" s="3">
        <f t="shared" si="307"/>
        <v>0</v>
      </c>
      <c r="R329" s="3">
        <f t="shared" si="307"/>
        <v>0</v>
      </c>
      <c r="S329" s="3">
        <f t="shared" si="307"/>
        <v>0</v>
      </c>
      <c r="T329" s="3">
        <f t="shared" si="307"/>
        <v>0</v>
      </c>
    </row>
    <row r="330" spans="8:21" x14ac:dyDescent="0.3">
      <c r="H330" t="s">
        <v>7</v>
      </c>
      <c r="J330" s="12">
        <f>J328-J329</f>
        <v>1.6510000000000016</v>
      </c>
      <c r="K330" s="3">
        <f t="shared" ref="K330:T330" si="308">K328-K329</f>
        <v>0.27800000000000002</v>
      </c>
      <c r="L330" s="3">
        <f t="shared" si="308"/>
        <v>0.27800000000000002</v>
      </c>
      <c r="M330" s="3">
        <f t="shared" si="308"/>
        <v>0.27800000000000002</v>
      </c>
      <c r="N330" s="3">
        <f t="shared" si="308"/>
        <v>0.27800000000000002</v>
      </c>
      <c r="O330" s="3">
        <f t="shared" si="308"/>
        <v>0.27800000000000002</v>
      </c>
      <c r="P330" s="3">
        <f t="shared" si="308"/>
        <v>0.27800000000000002</v>
      </c>
      <c r="Q330" s="3">
        <f t="shared" si="308"/>
        <v>0.27800000000000002</v>
      </c>
      <c r="R330" s="3">
        <f t="shared" si="308"/>
        <v>0.27800000000000002</v>
      </c>
      <c r="S330" s="3">
        <f t="shared" si="308"/>
        <v>0.27800000000000002</v>
      </c>
      <c r="T330" s="3">
        <f t="shared" si="308"/>
        <v>0.27800000000000002</v>
      </c>
      <c r="U330" s="3"/>
    </row>
    <row r="331" spans="8:21" x14ac:dyDescent="0.3">
      <c r="H331" t="s">
        <v>8</v>
      </c>
      <c r="J331" s="12"/>
      <c r="K331" s="3">
        <f t="shared" ref="K331:T331" si="309">K330/(1+$L315)^(K322-2010)</f>
        <v>0.27800000000000002</v>
      </c>
      <c r="L331" s="3">
        <f t="shared" si="309"/>
        <v>0.27800000000000002</v>
      </c>
      <c r="M331" s="3">
        <f t="shared" si="309"/>
        <v>0.27800000000000002</v>
      </c>
      <c r="N331" s="3">
        <f t="shared" si="309"/>
        <v>0.27800000000000002</v>
      </c>
      <c r="O331" s="3">
        <f t="shared" si="309"/>
        <v>0.27800000000000002</v>
      </c>
      <c r="P331" s="3">
        <f t="shared" si="309"/>
        <v>0.27800000000000002</v>
      </c>
      <c r="Q331" s="3">
        <f t="shared" si="309"/>
        <v>0.27800000000000002</v>
      </c>
      <c r="R331" s="3">
        <f t="shared" si="309"/>
        <v>0.27800000000000002</v>
      </c>
      <c r="S331" s="3">
        <f t="shared" si="309"/>
        <v>0.27800000000000002</v>
      </c>
      <c r="T331" s="3">
        <f t="shared" si="309"/>
        <v>0.27800000000000002</v>
      </c>
      <c r="U331" s="3" t="e">
        <f>T331/(L315-L317)</f>
        <v>#DIV/0!</v>
      </c>
    </row>
    <row r="333" spans="8:21" x14ac:dyDescent="0.3">
      <c r="H333" t="s">
        <v>11</v>
      </c>
      <c r="J333" s="3" t="e">
        <f>SUM(J331:U331)</f>
        <v>#DIV/0!</v>
      </c>
    </row>
    <row r="337" spans="7:21" ht="15" thickBot="1" x14ac:dyDescent="0.35">
      <c r="H337" s="6" t="s">
        <v>106</v>
      </c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</row>
    <row r="339" spans="7:21" x14ac:dyDescent="0.3">
      <c r="H339" s="2" t="s">
        <v>0</v>
      </c>
    </row>
    <row r="340" spans="7:21" x14ac:dyDescent="0.3">
      <c r="H340" t="s">
        <v>98</v>
      </c>
      <c r="L340" s="1">
        <f>N$48</f>
        <v>0</v>
      </c>
      <c r="N340" t="s">
        <v>80</v>
      </c>
    </row>
    <row r="341" spans="7:21" x14ac:dyDescent="0.3">
      <c r="G341" s="28" t="s">
        <v>81</v>
      </c>
      <c r="H341" s="29" t="s">
        <v>99</v>
      </c>
      <c r="L341" s="1">
        <f>P$36</f>
        <v>0</v>
      </c>
      <c r="M341" s="1">
        <f>L341-L340</f>
        <v>0</v>
      </c>
      <c r="N341" t="s">
        <v>82</v>
      </c>
    </row>
    <row r="342" spans="7:21" x14ac:dyDescent="0.3">
      <c r="G342" s="28" t="s">
        <v>81</v>
      </c>
      <c r="H342" s="29" t="s">
        <v>100</v>
      </c>
      <c r="L342" s="5">
        <f>P$37</f>
        <v>0</v>
      </c>
      <c r="M342" s="5">
        <f>L342-J$116</f>
        <v>-2010</v>
      </c>
      <c r="N342" t="s">
        <v>83</v>
      </c>
    </row>
    <row r="343" spans="7:21" x14ac:dyDescent="0.3">
      <c r="H343" t="s">
        <v>89</v>
      </c>
      <c r="L343" s="1">
        <f>N$49</f>
        <v>0</v>
      </c>
      <c r="N343" t="s">
        <v>84</v>
      </c>
    </row>
    <row r="344" spans="7:21" x14ac:dyDescent="0.3">
      <c r="G344" s="28" t="s">
        <v>81</v>
      </c>
      <c r="H344" t="s">
        <v>90</v>
      </c>
      <c r="L344" s="1">
        <f>P$38</f>
        <v>0</v>
      </c>
      <c r="M344" s="1">
        <f>L344-L343</f>
        <v>0</v>
      </c>
      <c r="N344" t="s">
        <v>85</v>
      </c>
    </row>
    <row r="345" spans="7:21" x14ac:dyDescent="0.3">
      <c r="G345" s="28" t="s">
        <v>81</v>
      </c>
      <c r="H345" t="s">
        <v>91</v>
      </c>
      <c r="L345" s="5">
        <f>P$39</f>
        <v>0</v>
      </c>
      <c r="M345" s="5">
        <f>L345-J$116</f>
        <v>-2010</v>
      </c>
      <c r="N345" t="s">
        <v>83</v>
      </c>
    </row>
    <row r="346" spans="7:21" x14ac:dyDescent="0.3">
      <c r="G346" s="28"/>
      <c r="H346" t="s">
        <v>88</v>
      </c>
      <c r="L346" s="1">
        <f>N$50</f>
        <v>0</v>
      </c>
      <c r="M346" s="5"/>
    </row>
    <row r="347" spans="7:21" x14ac:dyDescent="0.3">
      <c r="G347" s="28" t="s">
        <v>81</v>
      </c>
      <c r="H347" t="s">
        <v>96</v>
      </c>
      <c r="L347" s="1">
        <f>R$44</f>
        <v>0</v>
      </c>
      <c r="M347" s="1">
        <f>L347-L346</f>
        <v>0</v>
      </c>
      <c r="N347" t="s">
        <v>93</v>
      </c>
    </row>
    <row r="348" spans="7:21" x14ac:dyDescent="0.3">
      <c r="G348" s="28" t="s">
        <v>81</v>
      </c>
      <c r="H348" t="s">
        <v>92</v>
      </c>
      <c r="L348" s="5">
        <f>R$45</f>
        <v>0</v>
      </c>
      <c r="M348" s="5">
        <f>L348-J$78</f>
        <v>-2010</v>
      </c>
      <c r="N348" t="s">
        <v>83</v>
      </c>
    </row>
    <row r="349" spans="7:21" x14ac:dyDescent="0.3">
      <c r="H349" t="s">
        <v>15</v>
      </c>
      <c r="L349" s="1">
        <f>S$48</f>
        <v>0</v>
      </c>
    </row>
    <row r="350" spans="7:21" x14ac:dyDescent="0.3">
      <c r="H350" t="s">
        <v>5</v>
      </c>
      <c r="L350" s="1">
        <f>S$49</f>
        <v>0</v>
      </c>
    </row>
    <row r="351" spans="7:21" x14ac:dyDescent="0.3">
      <c r="H351" t="s">
        <v>10</v>
      </c>
      <c r="L351" s="1">
        <f>S$50</f>
        <v>0</v>
      </c>
    </row>
    <row r="352" spans="7:21" x14ac:dyDescent="0.3">
      <c r="H352" t="s">
        <v>23</v>
      </c>
      <c r="L352" s="1">
        <f>N$51</f>
        <v>0</v>
      </c>
    </row>
    <row r="353" spans="8:21" x14ac:dyDescent="0.3">
      <c r="H353" t="s">
        <v>86</v>
      </c>
    </row>
    <row r="355" spans="8:21" x14ac:dyDescent="0.3">
      <c r="J355" s="10" t="s">
        <v>12</v>
      </c>
      <c r="K355" s="13" t="s">
        <v>24</v>
      </c>
      <c r="L355" s="1"/>
      <c r="M355" s="1"/>
      <c r="N355" s="1"/>
      <c r="O355" s="1"/>
      <c r="P355" s="1"/>
      <c r="Q355" s="1"/>
      <c r="R355" s="1"/>
      <c r="S355" s="1"/>
      <c r="T355" s="1"/>
    </row>
    <row r="356" spans="8:21" x14ac:dyDescent="0.3">
      <c r="J356" s="10">
        <v>2010</v>
      </c>
      <c r="K356" s="2">
        <f>J356+1</f>
        <v>2011</v>
      </c>
      <c r="L356" s="2">
        <f t="shared" ref="L356" si="310">K356+1</f>
        <v>2012</v>
      </c>
      <c r="M356" s="2">
        <f t="shared" ref="M356" si="311">L356+1</f>
        <v>2013</v>
      </c>
      <c r="N356" s="2">
        <f t="shared" ref="N356" si="312">M356+1</f>
        <v>2014</v>
      </c>
      <c r="O356" s="2">
        <f t="shared" ref="O356" si="313">N356+1</f>
        <v>2015</v>
      </c>
      <c r="P356" s="2">
        <f t="shared" ref="P356" si="314">O356+1</f>
        <v>2016</v>
      </c>
      <c r="Q356" s="2">
        <f t="shared" ref="Q356" si="315">P356+1</f>
        <v>2017</v>
      </c>
      <c r="R356" s="2">
        <f t="shared" ref="R356" si="316">Q356+1</f>
        <v>2018</v>
      </c>
      <c r="S356" s="2">
        <f t="shared" ref="S356" si="317">R356+1</f>
        <v>2019</v>
      </c>
      <c r="T356" s="2">
        <f t="shared" ref="T356" si="318">S356+1</f>
        <v>2020</v>
      </c>
      <c r="U356" s="2" t="s">
        <v>9</v>
      </c>
    </row>
    <row r="357" spans="8:21" x14ac:dyDescent="0.3">
      <c r="H357" t="s">
        <v>1</v>
      </c>
      <c r="J357" s="11">
        <f>[1]MMHistoricalFinancials!$B$3/1000</f>
        <v>11.46</v>
      </c>
      <c r="K357" s="4">
        <f>IF(K356&lt;$L345+1,J357*(1+$M344/$M345+$L343),J357*(1+$L344))</f>
        <v>11.46</v>
      </c>
      <c r="L357" s="4">
        <f t="shared" ref="L357" si="319">IF(L356&lt;$L345+1,K357*(1+(K357-J357)/J357+$M344/$M345),K357*(1+$L344))</f>
        <v>11.46</v>
      </c>
      <c r="M357" s="4">
        <f t="shared" ref="M357" si="320">IF(M356&lt;$L345+1,L357*(1+(L357-K357)/K357+$M344/$M345),L357*(1+$L344))</f>
        <v>11.46</v>
      </c>
      <c r="N357" s="4">
        <f t="shared" ref="N357" si="321">IF(N356&lt;$L345+1,M357*(1+(M357-L357)/L357+$M344/$M345),M357*(1+$L344))</f>
        <v>11.46</v>
      </c>
      <c r="O357" s="4">
        <f t="shared" ref="O357" si="322">IF(O356&lt;$L345+1,N357*(1+(N357-M357)/M357+$M344/$M345),N357*(1+$L344))</f>
        <v>11.46</v>
      </c>
      <c r="P357" s="4">
        <f t="shared" ref="P357" si="323">IF(P356&lt;$L345+1,O357*(1+(O357-N357)/N357+$M344/$M345),O357*(1+$L344))</f>
        <v>11.46</v>
      </c>
      <c r="Q357" s="4">
        <f t="shared" ref="Q357" si="324">IF(Q356&lt;$L345+1,P357*(1+(P357-O357)/O357+$M344/$M345),P357*(1+$L344))</f>
        <v>11.46</v>
      </c>
      <c r="R357" s="4">
        <f t="shared" ref="R357" si="325">IF(R356&lt;$L345+1,Q357*(1+(Q357-P357)/P357+$M344/$M345),Q357*(1+$L344))</f>
        <v>11.46</v>
      </c>
      <c r="S357" s="4">
        <f t="shared" ref="S357" si="326">IF(S356&lt;$L345+1,R357*(1+(R357-Q357)/Q357+$M344/$M345),R357*(1+$L344))</f>
        <v>11.46</v>
      </c>
      <c r="T357" s="4">
        <f t="shared" ref="T357" si="327">IF(T356&lt;$L345+1,S357*(1+(S357-R357)/R357+$M344/$M345),S357*(1+$L344))</f>
        <v>11.46</v>
      </c>
    </row>
    <row r="358" spans="8:21" x14ac:dyDescent="0.3">
      <c r="H358" t="s">
        <v>13</v>
      </c>
      <c r="J358" s="11">
        <f>[1]MMHistoricalFinancials!$B$4/1000</f>
        <v>8.4949999999999992</v>
      </c>
      <c r="K358" s="4">
        <f>K357-K359</f>
        <v>11.46</v>
      </c>
      <c r="L358" s="4">
        <f>L357-L359</f>
        <v>11.46</v>
      </c>
      <c r="M358" s="4">
        <f t="shared" ref="M358:T358" si="328">M357-M359</f>
        <v>11.46</v>
      </c>
      <c r="N358" s="4">
        <f t="shared" si="328"/>
        <v>11.46</v>
      </c>
      <c r="O358" s="4">
        <f t="shared" si="328"/>
        <v>11.46</v>
      </c>
      <c r="P358" s="4">
        <f t="shared" si="328"/>
        <v>11.46</v>
      </c>
      <c r="Q358" s="4">
        <f t="shared" si="328"/>
        <v>11.46</v>
      </c>
      <c r="R358" s="4">
        <f t="shared" si="328"/>
        <v>11.46</v>
      </c>
      <c r="S358" s="4">
        <f t="shared" si="328"/>
        <v>11.46</v>
      </c>
      <c r="T358" s="4">
        <f t="shared" si="328"/>
        <v>11.46</v>
      </c>
    </row>
    <row r="359" spans="8:21" x14ac:dyDescent="0.3">
      <c r="H359" t="s">
        <v>2</v>
      </c>
      <c r="J359" s="11">
        <f>J357-J358</f>
        <v>2.9650000000000016</v>
      </c>
      <c r="K359" s="4">
        <f>IF(K356&lt;$L345+1,K357*($M341/$M342+$L340),K357*$L341)</f>
        <v>0</v>
      </c>
      <c r="L359" s="4">
        <f t="shared" ref="L359" si="329">IF(L356&lt;$L345+1,L357*(K359/K357+$M341/$M342),L357*$L341)</f>
        <v>0</v>
      </c>
      <c r="M359" s="4">
        <f t="shared" ref="M359" si="330">IF(M356&lt;$L345+1,M357*(L359/L357+$M341/$M342),M357*$L341)</f>
        <v>0</v>
      </c>
      <c r="N359" s="4">
        <f t="shared" ref="N359" si="331">IF(N356&lt;$L345+1,N357*(M359/M357+$M341/$M342),N357*$L341)</f>
        <v>0</v>
      </c>
      <c r="O359" s="4">
        <f t="shared" ref="O359" si="332">IF(O356&lt;$L345+1,O357*(N359/N357+$M341/$M342),O357*$L341)</f>
        <v>0</v>
      </c>
      <c r="P359" s="4">
        <f t="shared" ref="P359" si="333">IF(P356&lt;$L345+1,P357*(O359/O357+$M341/$M342),P357*$L341)</f>
        <v>0</v>
      </c>
      <c r="Q359" s="4">
        <f t="shared" ref="Q359" si="334">IF(Q356&lt;$L345+1,Q357*(P359/P357+$M341/$M342),Q357*$L341)</f>
        <v>0</v>
      </c>
      <c r="R359" s="4">
        <f t="shared" ref="R359" si="335">IF(R356&lt;$L345+1,R357*(Q359/Q357+$M341/$M342),R357*$L341)</f>
        <v>0</v>
      </c>
      <c r="S359" s="4">
        <f t="shared" ref="S359" si="336">IF(S356&lt;$L345+1,S357*(R359/R357+$M341/$M342),S357*$L341)</f>
        <v>0</v>
      </c>
      <c r="T359" s="4">
        <f t="shared" ref="T359" si="337">IF(T356&lt;$L345+1,T357*(S359/S357+$M341/$M342),T357*$L341)</f>
        <v>0</v>
      </c>
    </row>
    <row r="360" spans="8:21" x14ac:dyDescent="0.3">
      <c r="H360" t="s">
        <v>3</v>
      </c>
      <c r="J360" s="11">
        <f>[1]MMHistoricalFinancials!$B$7/1000</f>
        <v>1.5920000000000001</v>
      </c>
      <c r="K360" s="3">
        <f t="shared" ref="K360:T360" si="338">K357*$L352</f>
        <v>0</v>
      </c>
      <c r="L360" s="3">
        <f t="shared" si="338"/>
        <v>0</v>
      </c>
      <c r="M360" s="3">
        <f t="shared" si="338"/>
        <v>0</v>
      </c>
      <c r="N360" s="3">
        <f t="shared" si="338"/>
        <v>0</v>
      </c>
      <c r="O360" s="3">
        <f t="shared" si="338"/>
        <v>0</v>
      </c>
      <c r="P360" s="3">
        <f t="shared" si="338"/>
        <v>0</v>
      </c>
      <c r="Q360" s="3">
        <f t="shared" si="338"/>
        <v>0</v>
      </c>
      <c r="R360" s="3">
        <f t="shared" si="338"/>
        <v>0</v>
      </c>
      <c r="S360" s="3">
        <f t="shared" si="338"/>
        <v>0</v>
      </c>
      <c r="T360" s="3">
        <f t="shared" si="338"/>
        <v>0</v>
      </c>
    </row>
    <row r="361" spans="8:21" x14ac:dyDescent="0.3">
      <c r="H361" t="s">
        <v>87</v>
      </c>
      <c r="J361" s="11">
        <v>0.27800000000000002</v>
      </c>
      <c r="K361" s="3">
        <f>IF(K356&lt;$L348+1,J361*(1+$M347/$M348+$L346),J361*(1+$L347))</f>
        <v>0.27800000000000002</v>
      </c>
      <c r="L361" s="3">
        <f t="shared" ref="L361:T361" si="339">IF(L356&lt;$L348+1,K361*(1+$M347/$M348+$L346),K361*(1+$L347))</f>
        <v>0.27800000000000002</v>
      </c>
      <c r="M361" s="3">
        <f t="shared" si="339"/>
        <v>0.27800000000000002</v>
      </c>
      <c r="N361" s="3">
        <f t="shared" si="339"/>
        <v>0.27800000000000002</v>
      </c>
      <c r="O361" s="3">
        <f t="shared" si="339"/>
        <v>0.27800000000000002</v>
      </c>
      <c r="P361" s="3">
        <f t="shared" si="339"/>
        <v>0.27800000000000002</v>
      </c>
      <c r="Q361" s="3">
        <f t="shared" si="339"/>
        <v>0.27800000000000002</v>
      </c>
      <c r="R361" s="3">
        <f t="shared" si="339"/>
        <v>0.27800000000000002</v>
      </c>
      <c r="S361" s="3">
        <f t="shared" si="339"/>
        <v>0.27800000000000002</v>
      </c>
      <c r="T361" s="3">
        <f t="shared" si="339"/>
        <v>0.27800000000000002</v>
      </c>
    </row>
    <row r="362" spans="8:21" x14ac:dyDescent="0.3">
      <c r="H362" t="s">
        <v>4</v>
      </c>
      <c r="J362" s="11">
        <f>J359-J360+J361</f>
        <v>1.6510000000000016</v>
      </c>
      <c r="K362" s="4">
        <f>K359-K360+K361</f>
        <v>0.27800000000000002</v>
      </c>
      <c r="L362" s="4">
        <f t="shared" ref="L362" si="340">L359-L360+L361</f>
        <v>0.27800000000000002</v>
      </c>
      <c r="M362" s="4">
        <f t="shared" ref="M362" si="341">M359-M360+M361</f>
        <v>0.27800000000000002</v>
      </c>
      <c r="N362" s="4">
        <f t="shared" ref="N362" si="342">N359-N360+N361</f>
        <v>0.27800000000000002</v>
      </c>
      <c r="O362" s="4">
        <f t="shared" ref="O362" si="343">O359-O360+O361</f>
        <v>0.27800000000000002</v>
      </c>
      <c r="P362" s="4">
        <f t="shared" ref="P362" si="344">P359-P360+P361</f>
        <v>0.27800000000000002</v>
      </c>
      <c r="Q362" s="4">
        <f t="shared" ref="Q362" si="345">Q359-Q360+Q361</f>
        <v>0.27800000000000002</v>
      </c>
      <c r="R362" s="4">
        <f t="shared" ref="R362" si="346">R359-R360+R361</f>
        <v>0.27800000000000002</v>
      </c>
      <c r="S362" s="4">
        <f t="shared" ref="S362" si="347">S359-S360+S361</f>
        <v>0.27800000000000002</v>
      </c>
      <c r="T362" s="4">
        <f t="shared" ref="T362" si="348">T359-T360+T361</f>
        <v>0.27800000000000002</v>
      </c>
    </row>
    <row r="363" spans="8:21" x14ac:dyDescent="0.3">
      <c r="H363" t="s">
        <v>6</v>
      </c>
      <c r="J363" s="12">
        <f t="shared" ref="J363:T363" si="349">J362*$L350</f>
        <v>0</v>
      </c>
      <c r="K363" s="3">
        <f t="shared" si="349"/>
        <v>0</v>
      </c>
      <c r="L363" s="3">
        <f t="shared" si="349"/>
        <v>0</v>
      </c>
      <c r="M363" s="3">
        <f t="shared" si="349"/>
        <v>0</v>
      </c>
      <c r="N363" s="3">
        <f t="shared" si="349"/>
        <v>0</v>
      </c>
      <c r="O363" s="3">
        <f t="shared" si="349"/>
        <v>0</v>
      </c>
      <c r="P363" s="3">
        <f t="shared" si="349"/>
        <v>0</v>
      </c>
      <c r="Q363" s="3">
        <f t="shared" si="349"/>
        <v>0</v>
      </c>
      <c r="R363" s="3">
        <f t="shared" si="349"/>
        <v>0</v>
      </c>
      <c r="S363" s="3">
        <f t="shared" si="349"/>
        <v>0</v>
      </c>
      <c r="T363" s="3">
        <f t="shared" si="349"/>
        <v>0</v>
      </c>
    </row>
    <row r="364" spans="8:21" x14ac:dyDescent="0.3">
      <c r="H364" t="s">
        <v>7</v>
      </c>
      <c r="J364" s="12">
        <f>J362-J363</f>
        <v>1.6510000000000016</v>
      </c>
      <c r="K364" s="3">
        <f t="shared" ref="K364:T364" si="350">K362-K363</f>
        <v>0.27800000000000002</v>
      </c>
      <c r="L364" s="3">
        <f t="shared" si="350"/>
        <v>0.27800000000000002</v>
      </c>
      <c r="M364" s="3">
        <f t="shared" si="350"/>
        <v>0.27800000000000002</v>
      </c>
      <c r="N364" s="3">
        <f t="shared" si="350"/>
        <v>0.27800000000000002</v>
      </c>
      <c r="O364" s="3">
        <f t="shared" si="350"/>
        <v>0.27800000000000002</v>
      </c>
      <c r="P364" s="3">
        <f t="shared" si="350"/>
        <v>0.27800000000000002</v>
      </c>
      <c r="Q364" s="3">
        <f t="shared" si="350"/>
        <v>0.27800000000000002</v>
      </c>
      <c r="R364" s="3">
        <f t="shared" si="350"/>
        <v>0.27800000000000002</v>
      </c>
      <c r="S364" s="3">
        <f t="shared" si="350"/>
        <v>0.27800000000000002</v>
      </c>
      <c r="T364" s="3">
        <f t="shared" si="350"/>
        <v>0.27800000000000002</v>
      </c>
      <c r="U364" s="3"/>
    </row>
    <row r="365" spans="8:21" x14ac:dyDescent="0.3">
      <c r="H365" t="s">
        <v>8</v>
      </c>
      <c r="J365" s="12"/>
      <c r="K365" s="3">
        <f t="shared" ref="K365:T365" si="351">K364/(1+$L349)^(K356-2010)</f>
        <v>0.27800000000000002</v>
      </c>
      <c r="L365" s="3">
        <f t="shared" si="351"/>
        <v>0.27800000000000002</v>
      </c>
      <c r="M365" s="3">
        <f t="shared" si="351"/>
        <v>0.27800000000000002</v>
      </c>
      <c r="N365" s="3">
        <f t="shared" si="351"/>
        <v>0.27800000000000002</v>
      </c>
      <c r="O365" s="3">
        <f t="shared" si="351"/>
        <v>0.27800000000000002</v>
      </c>
      <c r="P365" s="3">
        <f t="shared" si="351"/>
        <v>0.27800000000000002</v>
      </c>
      <c r="Q365" s="3">
        <f t="shared" si="351"/>
        <v>0.27800000000000002</v>
      </c>
      <c r="R365" s="3">
        <f t="shared" si="351"/>
        <v>0.27800000000000002</v>
      </c>
      <c r="S365" s="3">
        <f t="shared" si="351"/>
        <v>0.27800000000000002</v>
      </c>
      <c r="T365" s="3">
        <f t="shared" si="351"/>
        <v>0.27800000000000002</v>
      </c>
      <c r="U365" s="3" t="e">
        <f>T365/(L349-L351)</f>
        <v>#DIV/0!</v>
      </c>
    </row>
    <row r="367" spans="8:21" x14ac:dyDescent="0.3">
      <c r="H367" t="s">
        <v>11</v>
      </c>
      <c r="J367" s="3" t="e">
        <f>SUM(J365:U365)</f>
        <v>#DIV/0!</v>
      </c>
    </row>
  </sheetData>
  <conditionalFormatting sqref="C17">
    <cfRule type="cellIs" dxfId="0" priority="2" operator="equal">
      <formula>"Go Hostile!"</formula>
    </cfRule>
    <cfRule type="cellIs" dxfId="1" priority="1" operator="equal">
      <formula>"Lay Low"</formula>
    </cfRule>
  </conditionalFormatting>
  <pageMargins left="0.7" right="0.7" top="0.75" bottom="0.75" header="0.3" footer="0.3"/>
  <pageSetup orientation="portrait" verticalDpi="0" r:id="rId1"/>
  <drawing r:id="rId2"/>
  <picture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2:M47"/>
  <sheetViews>
    <sheetView workbookViewId="0">
      <selection activeCell="K150" sqref="K150"/>
    </sheetView>
  </sheetViews>
  <sheetFormatPr defaultRowHeight="14.4" x14ac:dyDescent="0.3"/>
  <sheetData>
    <row r="32" ht="15" thickBot="1" x14ac:dyDescent="0.35"/>
    <row r="33" spans="1:13" x14ac:dyDescent="0.3">
      <c r="A33" s="45" t="s">
        <v>155</v>
      </c>
      <c r="B33" s="46"/>
      <c r="C33" s="46"/>
      <c r="D33" s="46"/>
      <c r="E33" s="46"/>
      <c r="F33" s="46"/>
      <c r="G33" s="46"/>
      <c r="H33" s="46"/>
      <c r="I33" s="46"/>
      <c r="J33" s="46"/>
      <c r="K33" s="46"/>
      <c r="L33" s="46"/>
      <c r="M33" s="47"/>
    </row>
    <row r="34" spans="1:13" ht="15" thickBot="1" x14ac:dyDescent="0.35">
      <c r="A34" s="48" t="s">
        <v>156</v>
      </c>
      <c r="B34" s="49"/>
      <c r="C34" s="49"/>
      <c r="D34" s="49"/>
      <c r="E34" s="49"/>
      <c r="F34" s="49"/>
      <c r="G34" s="49"/>
      <c r="H34" s="49"/>
      <c r="I34" s="49"/>
      <c r="J34" s="49"/>
      <c r="K34" s="49"/>
      <c r="L34" s="49"/>
      <c r="M34" s="50"/>
    </row>
    <row r="35" spans="1:13" ht="14.4" customHeight="1" x14ac:dyDescent="0.3">
      <c r="A35" s="30"/>
      <c r="B35" s="31"/>
      <c r="C35" s="61" t="s">
        <v>157</v>
      </c>
      <c r="D35" s="62"/>
      <c r="E35" s="62"/>
      <c r="F35" s="62"/>
      <c r="G35" s="62"/>
      <c r="H35" s="62"/>
      <c r="I35" s="62"/>
      <c r="J35" s="62"/>
      <c r="K35" s="62"/>
      <c r="L35" s="62"/>
      <c r="M35" s="63"/>
    </row>
    <row r="36" spans="1:13" x14ac:dyDescent="0.3">
      <c r="A36" s="32"/>
      <c r="B36" s="33"/>
      <c r="C36" s="34">
        <v>0.3</v>
      </c>
      <c r="D36" s="34">
        <v>0.32</v>
      </c>
      <c r="E36" s="34">
        <v>0.33999999999999997</v>
      </c>
      <c r="F36" s="34">
        <v>0.36</v>
      </c>
      <c r="G36" s="34">
        <v>0.38</v>
      </c>
      <c r="H36" s="34">
        <v>0.4</v>
      </c>
      <c r="I36" s="34">
        <v>0.42</v>
      </c>
      <c r="J36" s="34">
        <v>0.44</v>
      </c>
      <c r="K36" s="34">
        <v>0.46</v>
      </c>
      <c r="L36" s="34">
        <v>0.48</v>
      </c>
      <c r="M36" s="35">
        <v>0.5</v>
      </c>
    </row>
    <row r="37" spans="1:13" ht="14.4" customHeight="1" x14ac:dyDescent="0.3">
      <c r="A37" s="58" t="s">
        <v>158</v>
      </c>
      <c r="B37" s="36">
        <v>0.44999999999999996</v>
      </c>
      <c r="C37" s="54">
        <v>-0.21259261467146759</v>
      </c>
      <c r="D37" s="54">
        <v>-0.21259261467146759</v>
      </c>
      <c r="E37" s="54">
        <v>-0.21259261467146759</v>
      </c>
      <c r="F37" s="54">
        <v>-0.21259261467146759</v>
      </c>
      <c r="G37" s="54">
        <v>-0.21259261467146759</v>
      </c>
      <c r="H37" s="54">
        <v>-0.21259261467146759</v>
      </c>
      <c r="I37" s="54">
        <v>-0.21259261467146759</v>
      </c>
      <c r="J37" s="54">
        <v>-0.21259261467146759</v>
      </c>
      <c r="K37" s="54">
        <v>-0.21259261467146759</v>
      </c>
      <c r="L37" s="54">
        <v>-0.21259261467146759</v>
      </c>
      <c r="M37" s="55">
        <v>-0.21259261467146759</v>
      </c>
    </row>
    <row r="38" spans="1:13" x14ac:dyDescent="0.3">
      <c r="A38" s="59"/>
      <c r="B38" s="36">
        <v>0.48</v>
      </c>
      <c r="C38" s="54">
        <v>-0.21259261467146759</v>
      </c>
      <c r="D38" s="54">
        <v>-0.21259261467146759</v>
      </c>
      <c r="E38" s="54">
        <v>-0.21259261467146759</v>
      </c>
      <c r="F38" s="54">
        <v>-0.21259261467146759</v>
      </c>
      <c r="G38" s="54">
        <v>-0.21259261467146759</v>
      </c>
      <c r="H38" s="54">
        <v>-0.21259261467146759</v>
      </c>
      <c r="I38" s="54">
        <v>-0.21259261467146759</v>
      </c>
      <c r="J38" s="54">
        <v>-0.21259261467146759</v>
      </c>
      <c r="K38" s="54">
        <v>-0.21259261467146759</v>
      </c>
      <c r="L38" s="54">
        <v>-0.11375360070627194</v>
      </c>
      <c r="M38" s="55">
        <v>0.1264095516774161</v>
      </c>
    </row>
    <row r="39" spans="1:13" x14ac:dyDescent="0.3">
      <c r="A39" s="59"/>
      <c r="B39" s="36">
        <v>0.51</v>
      </c>
      <c r="C39" s="54">
        <v>-0.21259261467146759</v>
      </c>
      <c r="D39" s="54">
        <v>-0.21259261467146759</v>
      </c>
      <c r="E39" s="54">
        <v>-0.21259261467146759</v>
      </c>
      <c r="F39" s="54">
        <v>-0.21259261467146759</v>
      </c>
      <c r="G39" s="54">
        <v>-0.21259261467146759</v>
      </c>
      <c r="H39" s="54">
        <v>-0.21259261467146759</v>
      </c>
      <c r="I39" s="54">
        <v>-0.21259261467146759</v>
      </c>
      <c r="J39" s="54">
        <v>-4.9172861148785572E-2</v>
      </c>
      <c r="K39" s="54">
        <v>0.2060004882588839</v>
      </c>
      <c r="L39" s="54">
        <v>0.46117383766655334</v>
      </c>
      <c r="M39" s="55">
        <v>0.71634718707422185</v>
      </c>
    </row>
    <row r="40" spans="1:13" x14ac:dyDescent="0.3">
      <c r="A40" s="59"/>
      <c r="B40" s="36">
        <v>0.53999999999999992</v>
      </c>
      <c r="C40" s="54">
        <v>-0.21259261467146759</v>
      </c>
      <c r="D40" s="54">
        <v>-0.21259261467146759</v>
      </c>
      <c r="E40" s="54">
        <v>-0.21259261467146759</v>
      </c>
      <c r="F40" s="54">
        <v>-0.21259261467146759</v>
      </c>
      <c r="G40" s="54">
        <v>-0.21259261467146759</v>
      </c>
      <c r="H40" s="54">
        <v>-4.4632909687221944E-2</v>
      </c>
      <c r="I40" s="54">
        <v>0.22555063674442657</v>
      </c>
      <c r="J40" s="54">
        <v>0.49573418317607654</v>
      </c>
      <c r="K40" s="54">
        <v>0.76591772960772653</v>
      </c>
      <c r="L40" s="54">
        <v>1.0361012760393764</v>
      </c>
      <c r="M40" s="55">
        <v>1.3062848224710255</v>
      </c>
    </row>
    <row r="41" spans="1:13" x14ac:dyDescent="0.3">
      <c r="A41" s="59"/>
      <c r="B41" s="36">
        <v>0.56999999999999995</v>
      </c>
      <c r="C41" s="54">
        <v>-0.21259261467146759</v>
      </c>
      <c r="D41" s="54">
        <v>-0.21259261467146759</v>
      </c>
      <c r="E41" s="54">
        <v>-0.21259261467146759</v>
      </c>
      <c r="F41" s="54">
        <v>-0.10013374632157994</v>
      </c>
      <c r="G41" s="54">
        <v>0.18505999713405061</v>
      </c>
      <c r="H41" s="54">
        <v>0.47025374058968111</v>
      </c>
      <c r="I41" s="54">
        <v>0.75544748404531015</v>
      </c>
      <c r="J41" s="54">
        <v>1.0406412275009407</v>
      </c>
      <c r="K41" s="54">
        <v>1.3258349709565713</v>
      </c>
      <c r="L41" s="54">
        <v>1.6110287144122017</v>
      </c>
      <c r="M41" s="55">
        <v>1.8962224578678313</v>
      </c>
    </row>
    <row r="42" spans="1:13" x14ac:dyDescent="0.3">
      <c r="A42" s="59"/>
      <c r="B42" s="36">
        <v>0.6</v>
      </c>
      <c r="C42" s="54">
        <v>-0.21259261467146759</v>
      </c>
      <c r="D42" s="54">
        <v>-0.21259261467146759</v>
      </c>
      <c r="E42" s="54">
        <v>8.4528569427750902E-2</v>
      </c>
      <c r="F42" s="54">
        <v>0.38473250990736202</v>
      </c>
      <c r="G42" s="54">
        <v>0.68493645038697315</v>
      </c>
      <c r="H42" s="54">
        <v>0.98514039086658423</v>
      </c>
      <c r="I42" s="54">
        <v>1.2853443313461936</v>
      </c>
      <c r="J42" s="54">
        <v>1.5855482718258049</v>
      </c>
      <c r="K42" s="54">
        <v>1.885752212305416</v>
      </c>
      <c r="L42" s="54">
        <v>2.1859561527850269</v>
      </c>
      <c r="M42" s="55">
        <v>2.4861600932646373</v>
      </c>
    </row>
    <row r="43" spans="1:13" x14ac:dyDescent="0.3">
      <c r="A43" s="59"/>
      <c r="B43" s="36">
        <v>0.63</v>
      </c>
      <c r="C43" s="54">
        <v>-7.6043646374469961E-2</v>
      </c>
      <c r="D43" s="54">
        <v>0.2391704911291217</v>
      </c>
      <c r="E43" s="54">
        <v>0.55438462863271232</v>
      </c>
      <c r="F43" s="54">
        <v>0.86959876613630394</v>
      </c>
      <c r="G43" s="54">
        <v>1.1848129036398956</v>
      </c>
      <c r="H43" s="54">
        <v>1.5000270411434873</v>
      </c>
      <c r="I43" s="54">
        <v>1.8152411786470772</v>
      </c>
      <c r="J43" s="54">
        <v>2.1304553161506692</v>
      </c>
      <c r="K43" s="54">
        <v>2.4456694536542605</v>
      </c>
      <c r="L43" s="54">
        <v>2.7608835911578522</v>
      </c>
      <c r="M43" s="55">
        <v>3.076097728661443</v>
      </c>
    </row>
    <row r="44" spans="1:13" x14ac:dyDescent="0.3">
      <c r="A44" s="59"/>
      <c r="B44" s="36">
        <v>0.66</v>
      </c>
      <c r="C44" s="54">
        <v>0.36379201878253031</v>
      </c>
      <c r="D44" s="54">
        <v>0.69401635331010259</v>
      </c>
      <c r="E44" s="54">
        <v>1.0242406878376737</v>
      </c>
      <c r="F44" s="54">
        <v>1.3544650223652459</v>
      </c>
      <c r="G44" s="54">
        <v>1.6846893568928181</v>
      </c>
      <c r="H44" s="54">
        <v>2.0149136914203902</v>
      </c>
      <c r="I44" s="54">
        <v>2.3451380259479611</v>
      </c>
      <c r="J44" s="54">
        <v>2.6753623604755332</v>
      </c>
      <c r="K44" s="54">
        <v>3.0055866950031054</v>
      </c>
      <c r="L44" s="54">
        <v>3.3358110295306775</v>
      </c>
      <c r="M44" s="55">
        <v>3.6660353640582488</v>
      </c>
    </row>
    <row r="45" spans="1:13" x14ac:dyDescent="0.3">
      <c r="A45" s="59"/>
      <c r="B45" s="36">
        <v>0.69</v>
      </c>
      <c r="C45" s="54">
        <v>0.80362768393952899</v>
      </c>
      <c r="D45" s="54">
        <v>1.1488622154910817</v>
      </c>
      <c r="E45" s="54">
        <v>1.4940967470426332</v>
      </c>
      <c r="F45" s="54">
        <v>1.839331278594186</v>
      </c>
      <c r="G45" s="54">
        <v>2.184565810145739</v>
      </c>
      <c r="H45" s="54">
        <v>2.5298003416972916</v>
      </c>
      <c r="I45" s="54">
        <v>2.8750348732488424</v>
      </c>
      <c r="J45" s="54">
        <v>3.2202694048003955</v>
      </c>
      <c r="K45" s="54">
        <v>3.5655039363519481</v>
      </c>
      <c r="L45" s="54">
        <v>3.9107384679035007</v>
      </c>
      <c r="M45" s="55">
        <v>4.2559729994550519</v>
      </c>
    </row>
    <row r="46" spans="1:13" x14ac:dyDescent="0.3">
      <c r="A46" s="59"/>
      <c r="B46" s="36">
        <v>0.72</v>
      </c>
      <c r="C46" s="54">
        <v>1.2434633490965292</v>
      </c>
      <c r="D46" s="54">
        <v>1.6037080776720627</v>
      </c>
      <c r="E46" s="54">
        <v>1.9639528062475946</v>
      </c>
      <c r="F46" s="54">
        <v>2.3241975348231279</v>
      </c>
      <c r="G46" s="54">
        <v>2.6844422633986613</v>
      </c>
      <c r="H46" s="54">
        <v>3.0446869919741948</v>
      </c>
      <c r="I46" s="54">
        <v>3.404931720549726</v>
      </c>
      <c r="J46" s="54">
        <v>3.7651764491252595</v>
      </c>
      <c r="K46" s="54">
        <v>4.125421177700793</v>
      </c>
      <c r="L46" s="54">
        <v>4.485665906276326</v>
      </c>
      <c r="M46" s="55">
        <v>4.8459106348518581</v>
      </c>
    </row>
    <row r="47" spans="1:13" ht="15" thickBot="1" x14ac:dyDescent="0.35">
      <c r="A47" s="60"/>
      <c r="B47" s="37">
        <v>0.75</v>
      </c>
      <c r="C47" s="56">
        <v>1.6832990142535296</v>
      </c>
      <c r="D47" s="56">
        <v>2.0585539398530432</v>
      </c>
      <c r="E47" s="56">
        <v>2.4338088654525558</v>
      </c>
      <c r="F47" s="56">
        <v>2.8090637910520702</v>
      </c>
      <c r="G47" s="56">
        <v>3.1843187166515836</v>
      </c>
      <c r="H47" s="56">
        <v>3.559573642251098</v>
      </c>
      <c r="I47" s="56">
        <v>3.9348285678506096</v>
      </c>
      <c r="J47" s="56">
        <v>4.310083493450124</v>
      </c>
      <c r="K47" s="56">
        <v>4.6853384190496374</v>
      </c>
      <c r="L47" s="56">
        <v>5.0605933446491509</v>
      </c>
      <c r="M47" s="57">
        <v>5.4358482702486643</v>
      </c>
    </row>
  </sheetData>
  <mergeCells count="4">
    <mergeCell ref="A33:M33"/>
    <mergeCell ref="A34:M34"/>
    <mergeCell ref="C35:M35"/>
    <mergeCell ref="A37:A47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U115"/>
  <sheetViews>
    <sheetView showGridLines="0" zoomScale="87" zoomScaleNormal="87" workbookViewId="0">
      <selection activeCell="B23" sqref="B23"/>
    </sheetView>
  </sheetViews>
  <sheetFormatPr defaultRowHeight="14.4" x14ac:dyDescent="0.3"/>
  <cols>
    <col min="1" max="1" width="2.6640625" customWidth="1"/>
    <col min="2" max="2" width="20" customWidth="1"/>
    <col min="3" max="3" width="23.109375" customWidth="1"/>
    <col min="4" max="4" width="23.33203125" customWidth="1"/>
    <col min="5" max="5" width="23" customWidth="1"/>
    <col min="6" max="6" width="17.109375" customWidth="1"/>
    <col min="7" max="7" width="18.109375" customWidth="1"/>
    <col min="8" max="8" width="10.88671875" bestFit="1" customWidth="1"/>
    <col min="9" max="9" width="8.109375" customWidth="1"/>
    <col min="10" max="10" width="7.6640625" customWidth="1"/>
    <col min="11" max="18" width="7.88671875" customWidth="1"/>
    <col min="19" max="20" width="8.109375" customWidth="1"/>
  </cols>
  <sheetData>
    <row r="1" spans="2:8" ht="18.600000000000001" thickBot="1" x14ac:dyDescent="0.4">
      <c r="B1" s="8" t="s">
        <v>74</v>
      </c>
      <c r="C1" s="8"/>
      <c r="D1" s="8"/>
      <c r="E1" s="8"/>
      <c r="F1" s="8"/>
      <c r="G1" s="8"/>
      <c r="H1" s="8"/>
    </row>
    <row r="2" spans="2:8" ht="18.75" x14ac:dyDescent="0.3">
      <c r="B2" s="17"/>
      <c r="C2" s="17"/>
      <c r="D2" s="17"/>
      <c r="E2" s="17"/>
      <c r="F2" s="17"/>
      <c r="G2" s="17"/>
      <c r="H2" s="17"/>
    </row>
    <row r="3" spans="2:8" ht="15" customHeight="1" x14ac:dyDescent="0.25">
      <c r="E3" s="26">
        <v>0.5</v>
      </c>
      <c r="F3" s="19">
        <f>_xll.PTreeNodeProbability(treeCalc_1!$F$2,6)</f>
        <v>0</v>
      </c>
    </row>
    <row r="4" spans="2:8" ht="15" customHeight="1" x14ac:dyDescent="0.25">
      <c r="E4" s="20">
        <v>0</v>
      </c>
      <c r="F4" s="18">
        <f>_xll.PTreeNodeValue(treeCalc_1!$F$2,6)</f>
        <v>-29</v>
      </c>
    </row>
    <row r="5" spans="2:8" ht="15" customHeight="1" x14ac:dyDescent="0.25">
      <c r="D5" s="26">
        <v>0.05</v>
      </c>
      <c r="E5" s="24" t="s">
        <v>112</v>
      </c>
    </row>
    <row r="6" spans="2:8" ht="15" customHeight="1" x14ac:dyDescent="0.25">
      <c r="D6" s="20">
        <v>0</v>
      </c>
      <c r="E6" s="25">
        <f>_xll.PTreeNodeValue(treeCalc_1!$F$2,4)</f>
        <v>-29</v>
      </c>
    </row>
    <row r="7" spans="2:8" ht="15" customHeight="1" x14ac:dyDescent="0.25">
      <c r="E7" s="26">
        <v>0.5</v>
      </c>
      <c r="F7" s="19">
        <f>_xll.PTreeNodeProbability(treeCalc_1!$F$2,7)</f>
        <v>0</v>
      </c>
    </row>
    <row r="8" spans="2:8" ht="15" customHeight="1" x14ac:dyDescent="0.25">
      <c r="E8" s="20">
        <v>0</v>
      </c>
      <c r="F8" s="18">
        <f>_xll.PTreeNodeValue(treeCalc_1!$F$2,7)</f>
        <v>-29</v>
      </c>
    </row>
    <row r="9" spans="2:8" ht="15" customHeight="1" x14ac:dyDescent="0.25">
      <c r="C9" s="23" t="b">
        <f>_xll.PTreeNodeDecision(treeCalc_1!$F$2,2)</f>
        <v>0</v>
      </c>
      <c r="D9" s="24" t="s">
        <v>112</v>
      </c>
    </row>
    <row r="10" spans="2:8" ht="15" customHeight="1" x14ac:dyDescent="0.25">
      <c r="C10" s="20">
        <v>-29</v>
      </c>
      <c r="D10" s="25">
        <f>_xll.PTreeNodeValue(treeCalc_1!$F$2,2)</f>
        <v>-29</v>
      </c>
    </row>
    <row r="11" spans="2:8" ht="15" customHeight="1" x14ac:dyDescent="0.25">
      <c r="E11" s="26">
        <v>0.5</v>
      </c>
      <c r="F11" s="19">
        <f>_xll.PTreeNodeProbability(treeCalc_1!$F$2,8)</f>
        <v>0</v>
      </c>
    </row>
    <row r="12" spans="2:8" ht="15" customHeight="1" x14ac:dyDescent="0.25">
      <c r="E12" s="20">
        <v>0</v>
      </c>
      <c r="F12" s="18">
        <f>_xll.PTreeNodeValue(treeCalc_1!$F$2,8)</f>
        <v>-29</v>
      </c>
    </row>
    <row r="13" spans="2:8" ht="15" customHeight="1" x14ac:dyDescent="0.25">
      <c r="D13" s="26">
        <f>1-D5</f>
        <v>0.95</v>
      </c>
      <c r="E13" s="24" t="s">
        <v>112</v>
      </c>
    </row>
    <row r="14" spans="2:8" ht="15" customHeight="1" x14ac:dyDescent="0.25">
      <c r="D14" s="20">
        <v>0</v>
      </c>
      <c r="E14" s="25">
        <f>_xll.PTreeNodeValue(treeCalc_1!$F$2,5)</f>
        <v>-29</v>
      </c>
    </row>
    <row r="15" spans="2:8" ht="15" customHeight="1" x14ac:dyDescent="0.25">
      <c r="E15" s="26">
        <v>0.5</v>
      </c>
      <c r="F15" s="19">
        <f>_xll.PTreeNodeProbability(treeCalc_1!$F$2,9)</f>
        <v>0</v>
      </c>
    </row>
    <row r="16" spans="2:8" ht="15" customHeight="1" x14ac:dyDescent="0.25">
      <c r="E16" s="20">
        <v>0</v>
      </c>
      <c r="F16" s="18">
        <f>_xll.PTreeNodeValue(treeCalc_1!$F$2,9)</f>
        <v>-29</v>
      </c>
    </row>
    <row r="17" spans="2:6" ht="15" customHeight="1" x14ac:dyDescent="0.25">
      <c r="B17" s="20"/>
      <c r="C17" s="21" t="s">
        <v>110</v>
      </c>
    </row>
    <row r="18" spans="2:6" ht="15" customHeight="1" x14ac:dyDescent="0.25">
      <c r="B18" s="20"/>
      <c r="C18" s="22">
        <f>_xll.PTreeNodeValue(treeCalc_1!$F$2,1)</f>
        <v>0</v>
      </c>
    </row>
    <row r="19" spans="2:6" ht="15" customHeight="1" x14ac:dyDescent="0.25">
      <c r="E19" s="26">
        <v>0.5</v>
      </c>
      <c r="F19" s="19">
        <f>_xll.PTreeNodeProbability(treeCalc_1!$F$2,11)</f>
        <v>5.0000000000000001E-3</v>
      </c>
    </row>
    <row r="20" spans="2:6" ht="15" customHeight="1" x14ac:dyDescent="0.25">
      <c r="E20" s="20">
        <v>0</v>
      </c>
      <c r="F20" s="18">
        <f>_xll.PTreeNodeValue(treeCalc_1!$F$2,11)</f>
        <v>0</v>
      </c>
    </row>
    <row r="21" spans="2:6" ht="15" customHeight="1" x14ac:dyDescent="0.25">
      <c r="D21" s="26">
        <v>0.01</v>
      </c>
      <c r="E21" s="24" t="s">
        <v>112</v>
      </c>
    </row>
    <row r="22" spans="2:6" ht="15" customHeight="1" x14ac:dyDescent="0.25">
      <c r="D22" s="20">
        <v>0</v>
      </c>
      <c r="E22" s="25">
        <f>_xll.PTreeNodeValue(treeCalc_1!$F$2,10)</f>
        <v>0</v>
      </c>
    </row>
    <row r="23" spans="2:6" ht="15" customHeight="1" x14ac:dyDescent="0.25">
      <c r="E23" s="26">
        <v>0.5</v>
      </c>
      <c r="F23" s="19">
        <f>_xll.PTreeNodeProbability(treeCalc_1!$F$2,12)</f>
        <v>5.0000000000000001E-3</v>
      </c>
    </row>
    <row r="24" spans="2:6" ht="15" customHeight="1" x14ac:dyDescent="0.25">
      <c r="E24" s="20">
        <v>0</v>
      </c>
      <c r="F24" s="18">
        <f>_xll.PTreeNodeValue(treeCalc_1!$F$2,12)</f>
        <v>0</v>
      </c>
    </row>
    <row r="25" spans="2:6" ht="15" customHeight="1" x14ac:dyDescent="0.25">
      <c r="C25" s="23" t="b">
        <f>_xll.PTreeNodeDecision(treeCalc_1!$F$2,3)</f>
        <v>1</v>
      </c>
      <c r="D25" s="24" t="s">
        <v>112</v>
      </c>
    </row>
    <row r="26" spans="2:6" ht="15" customHeight="1" x14ac:dyDescent="0.25">
      <c r="C26" s="20">
        <v>0</v>
      </c>
      <c r="D26" s="25">
        <f>_xll.PTreeNodeValue(treeCalc_1!$F$2,3)</f>
        <v>0</v>
      </c>
    </row>
    <row r="27" spans="2:6" ht="15" customHeight="1" x14ac:dyDescent="0.25">
      <c r="E27" s="26">
        <v>0.5</v>
      </c>
      <c r="F27" s="19">
        <f>_xll.PTreeNodeProbability(treeCalc_1!$F$2,14)</f>
        <v>0.495</v>
      </c>
    </row>
    <row r="28" spans="2:6" ht="15" customHeight="1" x14ac:dyDescent="0.25">
      <c r="E28" s="20">
        <v>0</v>
      </c>
      <c r="F28" s="18">
        <f>_xll.PTreeNodeValue(treeCalc_1!$F$2,14)</f>
        <v>0</v>
      </c>
    </row>
    <row r="29" spans="2:6" ht="15" customHeight="1" x14ac:dyDescent="0.25">
      <c r="D29" s="26">
        <f>1-D21</f>
        <v>0.99</v>
      </c>
      <c r="E29" s="24" t="s">
        <v>112</v>
      </c>
    </row>
    <row r="30" spans="2:6" ht="15" customHeight="1" x14ac:dyDescent="0.25">
      <c r="D30" s="20">
        <v>0</v>
      </c>
      <c r="E30" s="25">
        <f>_xll.PTreeNodeValue(treeCalc_1!$F$2,13)</f>
        <v>0</v>
      </c>
    </row>
    <row r="31" spans="2:6" ht="15" customHeight="1" x14ac:dyDescent="0.25">
      <c r="E31" s="26">
        <v>0.5</v>
      </c>
      <c r="F31" s="19">
        <f>_xll.PTreeNodeProbability(treeCalc_1!$F$2,15)</f>
        <v>0.495</v>
      </c>
    </row>
    <row r="32" spans="2:6" ht="15" customHeight="1" x14ac:dyDescent="0.3">
      <c r="E32" s="20">
        <v>0</v>
      </c>
      <c r="F32" s="18">
        <f>_xll.PTreeNodeValue(treeCalc_1!$F$2,15)</f>
        <v>0</v>
      </c>
    </row>
    <row r="33" spans="2:8" ht="18" x14ac:dyDescent="0.35">
      <c r="B33" s="17"/>
      <c r="C33" s="17"/>
      <c r="D33" s="17"/>
      <c r="E33" s="17"/>
      <c r="F33" s="17"/>
      <c r="G33" s="17"/>
      <c r="H33" s="17"/>
    </row>
    <row r="34" spans="2:8" ht="18" x14ac:dyDescent="0.35">
      <c r="B34" s="17"/>
      <c r="C34" s="17"/>
      <c r="D34" s="17"/>
      <c r="E34" s="17"/>
      <c r="F34" s="17"/>
      <c r="G34" s="17"/>
      <c r="H34" s="17"/>
    </row>
    <row r="35" spans="2:8" ht="18" x14ac:dyDescent="0.35">
      <c r="B35" s="17"/>
      <c r="C35" s="17"/>
      <c r="D35" s="17"/>
      <c r="E35" s="17"/>
      <c r="F35" s="17"/>
      <c r="G35" s="17"/>
      <c r="H35" s="17"/>
    </row>
    <row r="36" spans="2:8" ht="18" x14ac:dyDescent="0.35">
      <c r="B36" s="17"/>
      <c r="C36" s="17"/>
      <c r="D36" s="17"/>
      <c r="E36" s="17"/>
      <c r="F36" s="17"/>
      <c r="G36" s="17"/>
      <c r="H36" s="17"/>
    </row>
    <row r="37" spans="2:8" ht="18" x14ac:dyDescent="0.35">
      <c r="B37" s="17"/>
      <c r="C37" s="17"/>
      <c r="D37" s="17"/>
      <c r="E37" s="17"/>
      <c r="F37" s="17"/>
      <c r="G37" s="17"/>
      <c r="H37" s="17"/>
    </row>
    <row r="38" spans="2:8" ht="18" x14ac:dyDescent="0.35">
      <c r="B38" s="17"/>
      <c r="C38" s="17"/>
      <c r="D38" s="17"/>
      <c r="E38" s="17"/>
      <c r="F38" s="17"/>
      <c r="G38" s="17"/>
      <c r="H38" s="17"/>
    </row>
    <row r="39" spans="2:8" ht="18" x14ac:dyDescent="0.35">
      <c r="B39" s="17"/>
      <c r="C39" s="17"/>
      <c r="D39" s="17"/>
      <c r="E39" s="17"/>
      <c r="F39" s="17"/>
      <c r="G39" s="17"/>
      <c r="H39" s="17"/>
    </row>
    <row r="40" spans="2:8" ht="18" x14ac:dyDescent="0.35">
      <c r="B40" s="17"/>
      <c r="C40" s="17"/>
      <c r="D40" s="17"/>
      <c r="E40" s="17"/>
      <c r="F40" s="17"/>
      <c r="G40" s="17"/>
      <c r="H40" s="17"/>
    </row>
    <row r="41" spans="2:8" ht="18" x14ac:dyDescent="0.35">
      <c r="B41" s="17"/>
      <c r="C41" s="17"/>
      <c r="D41" s="17"/>
      <c r="E41" s="17"/>
      <c r="F41" s="17"/>
      <c r="G41" s="17"/>
      <c r="H41" s="17"/>
    </row>
    <row r="42" spans="2:8" ht="18" x14ac:dyDescent="0.35">
      <c r="B42" s="17"/>
      <c r="C42" s="17"/>
      <c r="D42" s="17"/>
      <c r="E42" s="17"/>
      <c r="F42" s="17"/>
      <c r="G42" s="17"/>
      <c r="H42" s="17"/>
    </row>
    <row r="43" spans="2:8" ht="18" x14ac:dyDescent="0.35">
      <c r="B43" s="17"/>
      <c r="C43" s="17"/>
      <c r="D43" s="17"/>
      <c r="E43" s="17"/>
      <c r="F43" s="17"/>
      <c r="G43" s="17"/>
      <c r="H43" s="17"/>
    </row>
    <row r="44" spans="2:8" ht="18" x14ac:dyDescent="0.35">
      <c r="B44" s="17"/>
      <c r="C44" s="17"/>
      <c r="D44" s="17"/>
      <c r="E44" s="17"/>
      <c r="F44" s="17"/>
      <c r="G44" s="17"/>
      <c r="H44" s="17"/>
    </row>
    <row r="45" spans="2:8" ht="18" x14ac:dyDescent="0.35">
      <c r="B45" s="17"/>
      <c r="C45" s="17"/>
      <c r="D45" s="17"/>
      <c r="E45" s="17"/>
      <c r="F45" s="17"/>
      <c r="G45" s="17"/>
      <c r="H45" s="17"/>
    </row>
    <row r="46" spans="2:8" ht="18" x14ac:dyDescent="0.35">
      <c r="B46" s="17"/>
      <c r="C46" s="17"/>
      <c r="D46" s="17"/>
      <c r="E46" s="17"/>
      <c r="F46" s="17"/>
      <c r="G46" s="17"/>
      <c r="H46" s="17"/>
    </row>
    <row r="47" spans="2:8" ht="18" x14ac:dyDescent="0.35">
      <c r="B47" s="17"/>
      <c r="C47" s="17"/>
      <c r="D47" s="17"/>
      <c r="E47" s="17"/>
      <c r="F47" s="17"/>
      <c r="G47" s="17"/>
      <c r="H47" s="17"/>
    </row>
    <row r="48" spans="2:8" ht="18" x14ac:dyDescent="0.35">
      <c r="B48" s="17"/>
      <c r="C48" s="17"/>
      <c r="D48" s="17"/>
      <c r="E48" s="17"/>
      <c r="F48" s="17"/>
      <c r="G48" s="17"/>
      <c r="H48" s="17"/>
    </row>
    <row r="49" spans="2:21" ht="18" x14ac:dyDescent="0.35">
      <c r="B49" s="17"/>
      <c r="C49" s="17"/>
      <c r="D49" s="17"/>
      <c r="E49" s="17"/>
      <c r="F49" s="17"/>
      <c r="G49" s="17"/>
      <c r="H49" s="17"/>
    </row>
    <row r="50" spans="2:21" ht="18" x14ac:dyDescent="0.35">
      <c r="B50" s="17"/>
      <c r="C50" s="17"/>
      <c r="D50" s="17"/>
      <c r="E50" s="17"/>
      <c r="F50" s="17"/>
      <c r="G50" s="17"/>
      <c r="H50" s="17"/>
    </row>
    <row r="51" spans="2:21" ht="18" x14ac:dyDescent="0.35">
      <c r="B51" s="17"/>
      <c r="C51" s="17"/>
      <c r="D51" s="17"/>
      <c r="E51" s="17"/>
      <c r="F51" s="17"/>
      <c r="G51" s="17"/>
      <c r="H51" s="17"/>
    </row>
    <row r="52" spans="2:21" ht="18" x14ac:dyDescent="0.35">
      <c r="B52" s="17"/>
      <c r="C52" s="17"/>
      <c r="D52" s="17"/>
      <c r="E52" s="17"/>
      <c r="F52" s="17"/>
      <c r="G52" s="17"/>
      <c r="H52" s="17"/>
    </row>
    <row r="53" spans="2:21" ht="18" x14ac:dyDescent="0.35">
      <c r="B53" s="17"/>
      <c r="C53" s="17"/>
      <c r="D53" s="17"/>
      <c r="E53" s="17"/>
      <c r="F53" s="17"/>
      <c r="G53" s="17"/>
      <c r="H53" s="17"/>
    </row>
    <row r="56" spans="2:21" x14ac:dyDescent="0.3">
      <c r="I56" s="3"/>
    </row>
    <row r="57" spans="2:21" ht="15" thickBot="1" x14ac:dyDescent="0.35">
      <c r="H57" s="6" t="s">
        <v>26</v>
      </c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</row>
    <row r="59" spans="2:21" x14ac:dyDescent="0.3">
      <c r="H59" s="2" t="s">
        <v>0</v>
      </c>
    </row>
    <row r="60" spans="2:21" x14ac:dyDescent="0.3">
      <c r="H60" t="s">
        <v>14</v>
      </c>
      <c r="L60" s="1">
        <v>0.25900000000000001</v>
      </c>
    </row>
    <row r="61" spans="2:21" x14ac:dyDescent="0.3">
      <c r="H61" t="s">
        <v>20</v>
      </c>
      <c r="L61" s="1">
        <f>L60</f>
        <v>0.25900000000000001</v>
      </c>
      <c r="M61" s="1">
        <f>L61-L60</f>
        <v>0</v>
      </c>
      <c r="N61" t="s">
        <v>21</v>
      </c>
    </row>
    <row r="62" spans="2:21" x14ac:dyDescent="0.3">
      <c r="H62" t="s">
        <v>15</v>
      </c>
      <c r="L62" s="1">
        <v>0.1</v>
      </c>
    </row>
    <row r="63" spans="2:21" x14ac:dyDescent="0.3">
      <c r="H63" t="s">
        <v>5</v>
      </c>
      <c r="L63" s="1">
        <v>0.35</v>
      </c>
    </row>
    <row r="64" spans="2:21" x14ac:dyDescent="0.3">
      <c r="H64" t="s">
        <v>10</v>
      </c>
      <c r="L64" s="1">
        <v>0.03</v>
      </c>
    </row>
    <row r="65" spans="8:21" x14ac:dyDescent="0.3">
      <c r="H65" t="s">
        <v>16</v>
      </c>
      <c r="L65" s="1">
        <v>0.03</v>
      </c>
    </row>
    <row r="66" spans="8:21" x14ac:dyDescent="0.3">
      <c r="H66" t="s">
        <v>19</v>
      </c>
      <c r="L66" s="1">
        <f>L65</f>
        <v>0.03</v>
      </c>
      <c r="M66" s="1">
        <f>L66-L65</f>
        <v>0</v>
      </c>
      <c r="N66" t="s">
        <v>21</v>
      </c>
    </row>
    <row r="67" spans="8:21" x14ac:dyDescent="0.3">
      <c r="H67" t="s">
        <v>18</v>
      </c>
      <c r="L67" s="5">
        <v>2020</v>
      </c>
      <c r="M67" s="5">
        <f>L67-J$72</f>
        <v>10</v>
      </c>
      <c r="N67" t="s">
        <v>22</v>
      </c>
    </row>
    <row r="68" spans="8:21" x14ac:dyDescent="0.3">
      <c r="H68" t="s">
        <v>17</v>
      </c>
      <c r="L68" s="5">
        <v>2020</v>
      </c>
      <c r="M68" s="5">
        <f>L68-J$72</f>
        <v>10</v>
      </c>
      <c r="N68" t="s">
        <v>22</v>
      </c>
    </row>
    <row r="69" spans="8:21" x14ac:dyDescent="0.3">
      <c r="H69" t="s">
        <v>23</v>
      </c>
      <c r="L69" s="1" t="e">
        <f>J76/J73</f>
        <v>#REF!</v>
      </c>
    </row>
    <row r="71" spans="8:21" x14ac:dyDescent="0.3">
      <c r="J71" s="10" t="s">
        <v>12</v>
      </c>
      <c r="K71" s="13" t="s">
        <v>24</v>
      </c>
      <c r="L71" s="1"/>
      <c r="M71" s="1"/>
      <c r="N71" s="1"/>
      <c r="O71" s="1"/>
      <c r="P71" s="1"/>
      <c r="Q71" s="1"/>
      <c r="R71" s="1"/>
      <c r="S71" s="1"/>
      <c r="T71" s="1"/>
    </row>
    <row r="72" spans="8:21" x14ac:dyDescent="0.3">
      <c r="J72" s="10">
        <v>2010</v>
      </c>
      <c r="K72" s="2">
        <f>J72+1</f>
        <v>2011</v>
      </c>
      <c r="L72" s="2">
        <f t="shared" ref="L72:T72" si="0">K72+1</f>
        <v>2012</v>
      </c>
      <c r="M72" s="2">
        <f t="shared" si="0"/>
        <v>2013</v>
      </c>
      <c r="N72" s="2">
        <f t="shared" si="0"/>
        <v>2014</v>
      </c>
      <c r="O72" s="2">
        <f t="shared" si="0"/>
        <v>2015</v>
      </c>
      <c r="P72" s="2">
        <f t="shared" si="0"/>
        <v>2016</v>
      </c>
      <c r="Q72" s="2">
        <f t="shared" si="0"/>
        <v>2017</v>
      </c>
      <c r="R72" s="2">
        <f t="shared" si="0"/>
        <v>2018</v>
      </c>
      <c r="S72" s="2">
        <f t="shared" si="0"/>
        <v>2019</v>
      </c>
      <c r="T72" s="2">
        <f t="shared" si="0"/>
        <v>2020</v>
      </c>
      <c r="U72" s="2" t="s">
        <v>9</v>
      </c>
    </row>
    <row r="73" spans="8:21" x14ac:dyDescent="0.3">
      <c r="H73" t="s">
        <v>1</v>
      </c>
      <c r="J73" s="11" t="e">
        <f>#REF!/1000</f>
        <v>#REF!</v>
      </c>
      <c r="K73" s="4" t="e">
        <f>IF(K72&lt;$L68+1,J73*(1+$M66/$M68+$L65),J73*(1+$L66))</f>
        <v>#REF!</v>
      </c>
      <c r="L73" s="4" t="e">
        <f>IF(L72&lt;$L68+1,K73*(1+(K73-J73)/J73+$M66/$M68),K73*(1+$L66))</f>
        <v>#REF!</v>
      </c>
      <c r="M73" s="4" t="e">
        <f t="shared" ref="M73:T73" si="1">IF(M72&lt;$L68+1,L73*(1+(L73-K73)/K73+$M66/$M68),L73*(1+$L66))</f>
        <v>#REF!</v>
      </c>
      <c r="N73" s="4" t="e">
        <f t="shared" si="1"/>
        <v>#REF!</v>
      </c>
      <c r="O73" s="4" t="e">
        <f t="shared" si="1"/>
        <v>#REF!</v>
      </c>
      <c r="P73" s="4" t="e">
        <f t="shared" si="1"/>
        <v>#REF!</v>
      </c>
      <c r="Q73" s="4" t="e">
        <f t="shared" si="1"/>
        <v>#REF!</v>
      </c>
      <c r="R73" s="4" t="e">
        <f t="shared" si="1"/>
        <v>#REF!</v>
      </c>
      <c r="S73" s="4" t="e">
        <f t="shared" si="1"/>
        <v>#REF!</v>
      </c>
      <c r="T73" s="4" t="e">
        <f t="shared" si="1"/>
        <v>#REF!</v>
      </c>
    </row>
    <row r="74" spans="8:21" x14ac:dyDescent="0.3">
      <c r="H74" t="s">
        <v>13</v>
      </c>
      <c r="J74" s="11" t="e">
        <f>#REF!/1000</f>
        <v>#REF!</v>
      </c>
      <c r="K74" s="4" t="e">
        <f>K73-K75</f>
        <v>#REF!</v>
      </c>
      <c r="L74" s="4" t="e">
        <f>L73-L75</f>
        <v>#REF!</v>
      </c>
      <c r="M74" s="4" t="e">
        <f t="shared" ref="M74:T74" si="2">M73-M75</f>
        <v>#REF!</v>
      </c>
      <c r="N74" s="4" t="e">
        <f t="shared" si="2"/>
        <v>#REF!</v>
      </c>
      <c r="O74" s="4" t="e">
        <f t="shared" si="2"/>
        <v>#REF!</v>
      </c>
      <c r="P74" s="4" t="e">
        <f t="shared" si="2"/>
        <v>#REF!</v>
      </c>
      <c r="Q74" s="4" t="e">
        <f t="shared" si="2"/>
        <v>#REF!</v>
      </c>
      <c r="R74" s="4" t="e">
        <f t="shared" si="2"/>
        <v>#REF!</v>
      </c>
      <c r="S74" s="4" t="e">
        <f t="shared" si="2"/>
        <v>#REF!</v>
      </c>
      <c r="T74" s="4" t="e">
        <f t="shared" si="2"/>
        <v>#REF!</v>
      </c>
    </row>
    <row r="75" spans="8:21" x14ac:dyDescent="0.3">
      <c r="H75" t="s">
        <v>2</v>
      </c>
      <c r="J75" s="11" t="e">
        <f>J73-J74</f>
        <v>#REF!</v>
      </c>
      <c r="K75" s="4" t="e">
        <f>IF(K72&lt;$L68+1,K73*($M61/$M67+$L60),K73*$L61)</f>
        <v>#REF!</v>
      </c>
      <c r="L75" s="4" t="e">
        <f>IF(L72&lt;$L68+1,L73*(K75/K73+$M61/$M67),L73*$L61)</f>
        <v>#REF!</v>
      </c>
      <c r="M75" s="4" t="e">
        <f t="shared" ref="M75:T75" si="3">IF(M72&lt;$L68+1,M73*(L75/L73+$M61/$M67),M73*$L61)</f>
        <v>#REF!</v>
      </c>
      <c r="N75" s="4" t="e">
        <f t="shared" si="3"/>
        <v>#REF!</v>
      </c>
      <c r="O75" s="4" t="e">
        <f t="shared" si="3"/>
        <v>#REF!</v>
      </c>
      <c r="P75" s="4" t="e">
        <f t="shared" si="3"/>
        <v>#REF!</v>
      </c>
      <c r="Q75" s="4" t="e">
        <f t="shared" si="3"/>
        <v>#REF!</v>
      </c>
      <c r="R75" s="4" t="e">
        <f t="shared" si="3"/>
        <v>#REF!</v>
      </c>
      <c r="S75" s="4" t="e">
        <f t="shared" si="3"/>
        <v>#REF!</v>
      </c>
      <c r="T75" s="4" t="e">
        <f t="shared" si="3"/>
        <v>#REF!</v>
      </c>
    </row>
    <row r="76" spans="8:21" x14ac:dyDescent="0.3">
      <c r="H76" t="s">
        <v>3</v>
      </c>
      <c r="J76" s="11" t="e">
        <f>#REF!/1000</f>
        <v>#REF!</v>
      </c>
      <c r="K76" s="3" t="e">
        <f>K73*$L69</f>
        <v>#REF!</v>
      </c>
      <c r="L76" s="3" t="e">
        <f t="shared" ref="L76:T76" si="4">L73*$L69</f>
        <v>#REF!</v>
      </c>
      <c r="M76" s="3" t="e">
        <f t="shared" si="4"/>
        <v>#REF!</v>
      </c>
      <c r="N76" s="3" t="e">
        <f t="shared" si="4"/>
        <v>#REF!</v>
      </c>
      <c r="O76" s="3" t="e">
        <f t="shared" si="4"/>
        <v>#REF!</v>
      </c>
      <c r="P76" s="3" t="e">
        <f t="shared" si="4"/>
        <v>#REF!</v>
      </c>
      <c r="Q76" s="3" t="e">
        <f t="shared" si="4"/>
        <v>#REF!</v>
      </c>
      <c r="R76" s="3" t="e">
        <f t="shared" si="4"/>
        <v>#REF!</v>
      </c>
      <c r="S76" s="3" t="e">
        <f t="shared" si="4"/>
        <v>#REF!</v>
      </c>
      <c r="T76" s="3" t="e">
        <f t="shared" si="4"/>
        <v>#REF!</v>
      </c>
    </row>
    <row r="77" spans="8:21" x14ac:dyDescent="0.3">
      <c r="H77" t="s">
        <v>4</v>
      </c>
      <c r="J77" s="11" t="e">
        <f>J75-J76</f>
        <v>#REF!</v>
      </c>
      <c r="K77" s="4" t="e">
        <f>K75-K76</f>
        <v>#REF!</v>
      </c>
      <c r="L77" s="4" t="e">
        <f t="shared" ref="L77:T77" si="5">L75-L76</f>
        <v>#REF!</v>
      </c>
      <c r="M77" s="4" t="e">
        <f t="shared" si="5"/>
        <v>#REF!</v>
      </c>
      <c r="N77" s="4" t="e">
        <f t="shared" si="5"/>
        <v>#REF!</v>
      </c>
      <c r="O77" s="4" t="e">
        <f t="shared" si="5"/>
        <v>#REF!</v>
      </c>
      <c r="P77" s="4" t="e">
        <f t="shared" si="5"/>
        <v>#REF!</v>
      </c>
      <c r="Q77" s="4" t="e">
        <f t="shared" si="5"/>
        <v>#REF!</v>
      </c>
      <c r="R77" s="4" t="e">
        <f t="shared" si="5"/>
        <v>#REF!</v>
      </c>
      <c r="S77" s="4" t="e">
        <f t="shared" si="5"/>
        <v>#REF!</v>
      </c>
      <c r="T77" s="4" t="e">
        <f t="shared" si="5"/>
        <v>#REF!</v>
      </c>
    </row>
    <row r="78" spans="8:21" x14ac:dyDescent="0.3">
      <c r="H78" t="s">
        <v>6</v>
      </c>
      <c r="J78" s="12" t="e">
        <f t="shared" ref="J78:T78" si="6">J77*$L63</f>
        <v>#REF!</v>
      </c>
      <c r="K78" s="3" t="e">
        <f t="shared" si="6"/>
        <v>#REF!</v>
      </c>
      <c r="L78" s="3" t="e">
        <f t="shared" si="6"/>
        <v>#REF!</v>
      </c>
      <c r="M78" s="3" t="e">
        <f t="shared" si="6"/>
        <v>#REF!</v>
      </c>
      <c r="N78" s="3" t="e">
        <f t="shared" si="6"/>
        <v>#REF!</v>
      </c>
      <c r="O78" s="3" t="e">
        <f t="shared" si="6"/>
        <v>#REF!</v>
      </c>
      <c r="P78" s="3" t="e">
        <f t="shared" si="6"/>
        <v>#REF!</v>
      </c>
      <c r="Q78" s="3" t="e">
        <f t="shared" si="6"/>
        <v>#REF!</v>
      </c>
      <c r="R78" s="3" t="e">
        <f t="shared" si="6"/>
        <v>#REF!</v>
      </c>
      <c r="S78" s="3" t="e">
        <f t="shared" si="6"/>
        <v>#REF!</v>
      </c>
      <c r="T78" s="3" t="e">
        <f t="shared" si="6"/>
        <v>#REF!</v>
      </c>
    </row>
    <row r="79" spans="8:21" x14ac:dyDescent="0.3">
      <c r="H79" t="s">
        <v>7</v>
      </c>
      <c r="J79" s="12" t="e">
        <f>J77-J78</f>
        <v>#REF!</v>
      </c>
      <c r="K79" s="3" t="e">
        <f t="shared" ref="K79:T79" si="7">K77-K78</f>
        <v>#REF!</v>
      </c>
      <c r="L79" s="3" t="e">
        <f t="shared" si="7"/>
        <v>#REF!</v>
      </c>
      <c r="M79" s="3" t="e">
        <f t="shared" si="7"/>
        <v>#REF!</v>
      </c>
      <c r="N79" s="3" t="e">
        <f t="shared" si="7"/>
        <v>#REF!</v>
      </c>
      <c r="O79" s="3" t="e">
        <f t="shared" si="7"/>
        <v>#REF!</v>
      </c>
      <c r="P79" s="3" t="e">
        <f t="shared" si="7"/>
        <v>#REF!</v>
      </c>
      <c r="Q79" s="3" t="e">
        <f t="shared" si="7"/>
        <v>#REF!</v>
      </c>
      <c r="R79" s="3" t="e">
        <f t="shared" si="7"/>
        <v>#REF!</v>
      </c>
      <c r="S79" s="3" t="e">
        <f t="shared" si="7"/>
        <v>#REF!</v>
      </c>
      <c r="T79" s="3" t="e">
        <f t="shared" si="7"/>
        <v>#REF!</v>
      </c>
      <c r="U79" s="3"/>
    </row>
    <row r="80" spans="8:21" x14ac:dyDescent="0.3">
      <c r="H80" t="s">
        <v>8</v>
      </c>
      <c r="J80" s="12"/>
      <c r="K80" s="3" t="e">
        <f t="shared" ref="K80:T80" si="8">K79/(1+$L62)^(K72-2006)</f>
        <v>#REF!</v>
      </c>
      <c r="L80" s="3" t="e">
        <f t="shared" si="8"/>
        <v>#REF!</v>
      </c>
      <c r="M80" s="3" t="e">
        <f t="shared" si="8"/>
        <v>#REF!</v>
      </c>
      <c r="N80" s="3" t="e">
        <f t="shared" si="8"/>
        <v>#REF!</v>
      </c>
      <c r="O80" s="3" t="e">
        <f t="shared" si="8"/>
        <v>#REF!</v>
      </c>
      <c r="P80" s="3" t="e">
        <f t="shared" si="8"/>
        <v>#REF!</v>
      </c>
      <c r="Q80" s="3" t="e">
        <f t="shared" si="8"/>
        <v>#REF!</v>
      </c>
      <c r="R80" s="3" t="e">
        <f t="shared" si="8"/>
        <v>#REF!</v>
      </c>
      <c r="S80" s="3" t="e">
        <f t="shared" si="8"/>
        <v>#REF!</v>
      </c>
      <c r="T80" s="3" t="e">
        <f t="shared" si="8"/>
        <v>#REF!</v>
      </c>
      <c r="U80" s="3" t="e">
        <f>T80/(L62-L64)</f>
        <v>#REF!</v>
      </c>
    </row>
    <row r="82" spans="8:21" x14ac:dyDescent="0.3">
      <c r="H82" t="s">
        <v>11</v>
      </c>
      <c r="J82" s="3" t="e">
        <f>SUM(J80:U80)</f>
        <v>#REF!</v>
      </c>
    </row>
    <row r="90" spans="8:21" ht="15" thickBot="1" x14ac:dyDescent="0.35">
      <c r="H90" s="6" t="s">
        <v>25</v>
      </c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</row>
    <row r="92" spans="8:21" x14ac:dyDescent="0.3">
      <c r="H92" s="2" t="s">
        <v>0</v>
      </c>
    </row>
    <row r="93" spans="8:21" x14ac:dyDescent="0.3">
      <c r="H93" t="s">
        <v>14</v>
      </c>
      <c r="L93" s="1">
        <v>0.25900000000000001</v>
      </c>
    </row>
    <row r="94" spans="8:21" x14ac:dyDescent="0.3">
      <c r="H94" t="s">
        <v>20</v>
      </c>
      <c r="L94" s="1">
        <v>0.3</v>
      </c>
      <c r="M94" s="1">
        <f>L94-L93</f>
        <v>4.0999999999999981E-2</v>
      </c>
      <c r="N94" t="s">
        <v>21</v>
      </c>
    </row>
    <row r="95" spans="8:21" x14ac:dyDescent="0.3">
      <c r="H95" t="s">
        <v>15</v>
      </c>
      <c r="L95" s="1">
        <v>0.1</v>
      </c>
    </row>
    <row r="96" spans="8:21" x14ac:dyDescent="0.3">
      <c r="H96" t="s">
        <v>5</v>
      </c>
      <c r="L96" s="1">
        <v>0.35</v>
      </c>
    </row>
    <row r="97" spans="8:21" x14ac:dyDescent="0.3">
      <c r="H97" t="s">
        <v>10</v>
      </c>
      <c r="L97" s="1">
        <v>0.03</v>
      </c>
    </row>
    <row r="98" spans="8:21" x14ac:dyDescent="0.3">
      <c r="H98" t="s">
        <v>16</v>
      </c>
      <c r="L98" s="1">
        <v>0.03</v>
      </c>
    </row>
    <row r="99" spans="8:21" x14ac:dyDescent="0.3">
      <c r="H99" t="s">
        <v>19</v>
      </c>
      <c r="L99" s="1">
        <v>0.05</v>
      </c>
      <c r="M99" s="1">
        <f>L99-L98</f>
        <v>2.0000000000000004E-2</v>
      </c>
      <c r="N99" t="s">
        <v>21</v>
      </c>
    </row>
    <row r="100" spans="8:21" x14ac:dyDescent="0.3">
      <c r="H100" t="s">
        <v>18</v>
      </c>
      <c r="L100" s="5">
        <v>2015</v>
      </c>
      <c r="M100" s="5">
        <f>L100-J$72</f>
        <v>5</v>
      </c>
      <c r="N100" t="s">
        <v>22</v>
      </c>
    </row>
    <row r="101" spans="8:21" x14ac:dyDescent="0.3">
      <c r="H101" t="s">
        <v>17</v>
      </c>
      <c r="L101" s="5">
        <v>2015</v>
      </c>
      <c r="M101" s="5">
        <f>L101-J$72</f>
        <v>5</v>
      </c>
      <c r="N101" t="s">
        <v>22</v>
      </c>
    </row>
    <row r="102" spans="8:21" x14ac:dyDescent="0.3">
      <c r="H102" t="s">
        <v>23</v>
      </c>
      <c r="L102" s="1" t="e">
        <f>J109/J106</f>
        <v>#REF!</v>
      </c>
    </row>
    <row r="104" spans="8:21" x14ac:dyDescent="0.3">
      <c r="J104" s="10" t="s">
        <v>12</v>
      </c>
      <c r="K104" s="13" t="s">
        <v>24</v>
      </c>
      <c r="L104" s="1"/>
      <c r="M104" s="1"/>
      <c r="N104" s="1"/>
      <c r="O104" s="1"/>
      <c r="P104" s="1"/>
      <c r="Q104" s="1"/>
      <c r="R104" s="1"/>
      <c r="S104" s="1"/>
      <c r="T104" s="1"/>
    </row>
    <row r="105" spans="8:21" x14ac:dyDescent="0.3">
      <c r="J105" s="10">
        <v>2010</v>
      </c>
      <c r="K105" s="2">
        <f>J105+1</f>
        <v>2011</v>
      </c>
      <c r="L105" s="2">
        <f t="shared" ref="L105" si="9">K105+1</f>
        <v>2012</v>
      </c>
      <c r="M105" s="2">
        <f t="shared" ref="M105" si="10">L105+1</f>
        <v>2013</v>
      </c>
      <c r="N105" s="2">
        <f t="shared" ref="N105" si="11">M105+1</f>
        <v>2014</v>
      </c>
      <c r="O105" s="2">
        <f t="shared" ref="O105" si="12">N105+1</f>
        <v>2015</v>
      </c>
      <c r="P105" s="2">
        <f t="shared" ref="P105" si="13">O105+1</f>
        <v>2016</v>
      </c>
      <c r="Q105" s="2">
        <f t="shared" ref="Q105" si="14">P105+1</f>
        <v>2017</v>
      </c>
      <c r="R105" s="2">
        <f t="shared" ref="R105" si="15">Q105+1</f>
        <v>2018</v>
      </c>
      <c r="S105" s="2">
        <f t="shared" ref="S105" si="16">R105+1</f>
        <v>2019</v>
      </c>
      <c r="T105" s="2">
        <f t="shared" ref="T105" si="17">S105+1</f>
        <v>2020</v>
      </c>
      <c r="U105" s="2" t="s">
        <v>9</v>
      </c>
    </row>
    <row r="106" spans="8:21" x14ac:dyDescent="0.3">
      <c r="H106" t="s">
        <v>1</v>
      </c>
      <c r="J106" s="11" t="e">
        <f>#REF!/1000</f>
        <v>#REF!</v>
      </c>
      <c r="K106" s="4" t="e">
        <f>IF(K105&lt;$L101+1,J106*(1+$M99/$M101+$L98),J106*(1+$L99))</f>
        <v>#REF!</v>
      </c>
      <c r="L106" s="4" t="e">
        <f>IF(L105&lt;$L101+1,K106*(1+(K106-J106)/J106+$M99/$M101),K106*(1+$L99))</f>
        <v>#REF!</v>
      </c>
      <c r="M106" s="4" t="e">
        <f t="shared" ref="M106" si="18">IF(M105&lt;$L101+1,L106*(1+(L106-K106)/K106+$M99/$M101),L106*(1+$L99))</f>
        <v>#REF!</v>
      </c>
      <c r="N106" s="4" t="e">
        <f t="shared" ref="N106" si="19">IF(N105&lt;$L101+1,M106*(1+(M106-L106)/L106+$M99/$M101),M106*(1+$L99))</f>
        <v>#REF!</v>
      </c>
      <c r="O106" s="4" t="e">
        <f t="shared" ref="O106" si="20">IF(O105&lt;$L101+1,N106*(1+(N106-M106)/M106+$M99/$M101),N106*(1+$L99))</f>
        <v>#REF!</v>
      </c>
      <c r="P106" s="4" t="e">
        <f t="shared" ref="P106" si="21">IF(P105&lt;$L101+1,O106*(1+(O106-N106)/N106+$M99/$M101),O106*(1+$L99))</f>
        <v>#REF!</v>
      </c>
      <c r="Q106" s="4" t="e">
        <f t="shared" ref="Q106" si="22">IF(Q105&lt;$L101+1,P106*(1+(P106-O106)/O106+$M99/$M101),P106*(1+$L99))</f>
        <v>#REF!</v>
      </c>
      <c r="R106" s="4" t="e">
        <f t="shared" ref="R106" si="23">IF(R105&lt;$L101+1,Q106*(1+(Q106-P106)/P106+$M99/$M101),Q106*(1+$L99))</f>
        <v>#REF!</v>
      </c>
      <c r="S106" s="4" t="e">
        <f t="shared" ref="S106" si="24">IF(S105&lt;$L101+1,R106*(1+(R106-Q106)/Q106+$M99/$M101),R106*(1+$L99))</f>
        <v>#REF!</v>
      </c>
      <c r="T106" s="4" t="e">
        <f t="shared" ref="T106" si="25">IF(T105&lt;$L101+1,S106*(1+(S106-R106)/R106+$M99/$M101),S106*(1+$L99))</f>
        <v>#REF!</v>
      </c>
    </row>
    <row r="107" spans="8:21" x14ac:dyDescent="0.3">
      <c r="H107" t="s">
        <v>13</v>
      </c>
      <c r="J107" s="11" t="e">
        <f>#REF!/1000</f>
        <v>#REF!</v>
      </c>
      <c r="K107" s="4" t="e">
        <f>K106-K108</f>
        <v>#REF!</v>
      </c>
      <c r="L107" s="4" t="e">
        <f>L106-L108</f>
        <v>#REF!</v>
      </c>
      <c r="M107" s="4" t="e">
        <f t="shared" ref="M107" si="26">M106-M108</f>
        <v>#REF!</v>
      </c>
      <c r="N107" s="4" t="e">
        <f t="shared" ref="N107" si="27">N106-N108</f>
        <v>#REF!</v>
      </c>
      <c r="O107" s="4" t="e">
        <f t="shared" ref="O107" si="28">O106-O108</f>
        <v>#REF!</v>
      </c>
      <c r="P107" s="4" t="e">
        <f t="shared" ref="P107" si="29">P106-P108</f>
        <v>#REF!</v>
      </c>
      <c r="Q107" s="4" t="e">
        <f t="shared" ref="Q107" si="30">Q106-Q108</f>
        <v>#REF!</v>
      </c>
      <c r="R107" s="4" t="e">
        <f t="shared" ref="R107" si="31">R106-R108</f>
        <v>#REF!</v>
      </c>
      <c r="S107" s="4" t="e">
        <f t="shared" ref="S107" si="32">S106-S108</f>
        <v>#REF!</v>
      </c>
      <c r="T107" s="4" t="e">
        <f t="shared" ref="T107" si="33">T106-T108</f>
        <v>#REF!</v>
      </c>
    </row>
    <row r="108" spans="8:21" x14ac:dyDescent="0.3">
      <c r="H108" t="s">
        <v>2</v>
      </c>
      <c r="J108" s="11" t="e">
        <f>J106-J107</f>
        <v>#REF!</v>
      </c>
      <c r="K108" s="4" t="e">
        <f>IF(K105&lt;$L101+1,K106*($M94/$M100+$L93),K106*$L94)</f>
        <v>#REF!</v>
      </c>
      <c r="L108" s="4" t="e">
        <f>IF(L105&lt;$L101+1,L106*(K108/K106+$M94/$M100),L106*$L94)</f>
        <v>#REF!</v>
      </c>
      <c r="M108" s="4" t="e">
        <f t="shared" ref="M108:T108" si="34">IF(M105&lt;$L101+1,M106*(L108/L106+$M94/$M100),M106*$L94)</f>
        <v>#REF!</v>
      </c>
      <c r="N108" s="4" t="e">
        <f t="shared" si="34"/>
        <v>#REF!</v>
      </c>
      <c r="O108" s="4" t="e">
        <f t="shared" si="34"/>
        <v>#REF!</v>
      </c>
      <c r="P108" s="4" t="e">
        <f t="shared" si="34"/>
        <v>#REF!</v>
      </c>
      <c r="Q108" s="4" t="e">
        <f t="shared" si="34"/>
        <v>#REF!</v>
      </c>
      <c r="R108" s="4" t="e">
        <f t="shared" si="34"/>
        <v>#REF!</v>
      </c>
      <c r="S108" s="4" t="e">
        <f t="shared" si="34"/>
        <v>#REF!</v>
      </c>
      <c r="T108" s="4" t="e">
        <f t="shared" si="34"/>
        <v>#REF!</v>
      </c>
    </row>
    <row r="109" spans="8:21" x14ac:dyDescent="0.3">
      <c r="H109" t="s">
        <v>3</v>
      </c>
      <c r="J109" s="11" t="e">
        <f>#REF!/1000</f>
        <v>#REF!</v>
      </c>
      <c r="K109" s="3" t="e">
        <f>K106*$L102</f>
        <v>#REF!</v>
      </c>
      <c r="L109" s="3" t="e">
        <f t="shared" ref="L109:T109" si="35">L106*$L102</f>
        <v>#REF!</v>
      </c>
      <c r="M109" s="3" t="e">
        <f t="shared" si="35"/>
        <v>#REF!</v>
      </c>
      <c r="N109" s="3" t="e">
        <f t="shared" si="35"/>
        <v>#REF!</v>
      </c>
      <c r="O109" s="3" t="e">
        <f t="shared" si="35"/>
        <v>#REF!</v>
      </c>
      <c r="P109" s="3" t="e">
        <f t="shared" si="35"/>
        <v>#REF!</v>
      </c>
      <c r="Q109" s="3" t="e">
        <f t="shared" si="35"/>
        <v>#REF!</v>
      </c>
      <c r="R109" s="3" t="e">
        <f t="shared" si="35"/>
        <v>#REF!</v>
      </c>
      <c r="S109" s="3" t="e">
        <f t="shared" si="35"/>
        <v>#REF!</v>
      </c>
      <c r="T109" s="3" t="e">
        <f t="shared" si="35"/>
        <v>#REF!</v>
      </c>
    </row>
    <row r="110" spans="8:21" x14ac:dyDescent="0.3">
      <c r="H110" t="s">
        <v>4</v>
      </c>
      <c r="J110" s="11" t="e">
        <f>J108-J109</f>
        <v>#REF!</v>
      </c>
      <c r="K110" s="4" t="e">
        <f>K108-K109</f>
        <v>#REF!</v>
      </c>
      <c r="L110" s="4" t="e">
        <f t="shared" ref="L110:T110" si="36">L108-L109</f>
        <v>#REF!</v>
      </c>
      <c r="M110" s="4" t="e">
        <f t="shared" si="36"/>
        <v>#REF!</v>
      </c>
      <c r="N110" s="4" t="e">
        <f t="shared" si="36"/>
        <v>#REF!</v>
      </c>
      <c r="O110" s="4" t="e">
        <f t="shared" si="36"/>
        <v>#REF!</v>
      </c>
      <c r="P110" s="4" t="e">
        <f t="shared" si="36"/>
        <v>#REF!</v>
      </c>
      <c r="Q110" s="4" t="e">
        <f t="shared" si="36"/>
        <v>#REF!</v>
      </c>
      <c r="R110" s="4" t="e">
        <f t="shared" si="36"/>
        <v>#REF!</v>
      </c>
      <c r="S110" s="4" t="e">
        <f t="shared" si="36"/>
        <v>#REF!</v>
      </c>
      <c r="T110" s="4" t="e">
        <f t="shared" si="36"/>
        <v>#REF!</v>
      </c>
    </row>
    <row r="111" spans="8:21" x14ac:dyDescent="0.3">
      <c r="H111" t="s">
        <v>6</v>
      </c>
      <c r="J111" s="12" t="e">
        <f t="shared" ref="J111:T111" si="37">J110*$L96</f>
        <v>#REF!</v>
      </c>
      <c r="K111" s="3" t="e">
        <f t="shared" si="37"/>
        <v>#REF!</v>
      </c>
      <c r="L111" s="3" t="e">
        <f t="shared" si="37"/>
        <v>#REF!</v>
      </c>
      <c r="M111" s="3" t="e">
        <f t="shared" si="37"/>
        <v>#REF!</v>
      </c>
      <c r="N111" s="3" t="e">
        <f t="shared" si="37"/>
        <v>#REF!</v>
      </c>
      <c r="O111" s="3" t="e">
        <f t="shared" si="37"/>
        <v>#REF!</v>
      </c>
      <c r="P111" s="3" t="e">
        <f t="shared" si="37"/>
        <v>#REF!</v>
      </c>
      <c r="Q111" s="3" t="e">
        <f t="shared" si="37"/>
        <v>#REF!</v>
      </c>
      <c r="R111" s="3" t="e">
        <f t="shared" si="37"/>
        <v>#REF!</v>
      </c>
      <c r="S111" s="3" t="e">
        <f t="shared" si="37"/>
        <v>#REF!</v>
      </c>
      <c r="T111" s="3" t="e">
        <f t="shared" si="37"/>
        <v>#REF!</v>
      </c>
    </row>
    <row r="112" spans="8:21" x14ac:dyDescent="0.3">
      <c r="H112" t="s">
        <v>7</v>
      </c>
      <c r="J112" s="12" t="e">
        <f>J110-J111</f>
        <v>#REF!</v>
      </c>
      <c r="K112" s="3" t="e">
        <f t="shared" ref="K112:T112" si="38">K110-K111</f>
        <v>#REF!</v>
      </c>
      <c r="L112" s="3" t="e">
        <f t="shared" si="38"/>
        <v>#REF!</v>
      </c>
      <c r="M112" s="3" t="e">
        <f t="shared" si="38"/>
        <v>#REF!</v>
      </c>
      <c r="N112" s="3" t="e">
        <f t="shared" si="38"/>
        <v>#REF!</v>
      </c>
      <c r="O112" s="3" t="e">
        <f t="shared" si="38"/>
        <v>#REF!</v>
      </c>
      <c r="P112" s="3" t="e">
        <f t="shared" si="38"/>
        <v>#REF!</v>
      </c>
      <c r="Q112" s="3" t="e">
        <f t="shared" si="38"/>
        <v>#REF!</v>
      </c>
      <c r="R112" s="3" t="e">
        <f t="shared" si="38"/>
        <v>#REF!</v>
      </c>
      <c r="S112" s="3" t="e">
        <f t="shared" si="38"/>
        <v>#REF!</v>
      </c>
      <c r="T112" s="3" t="e">
        <f t="shared" si="38"/>
        <v>#REF!</v>
      </c>
      <c r="U112" s="3"/>
    </row>
    <row r="113" spans="8:21" x14ac:dyDescent="0.3">
      <c r="H113" t="s">
        <v>8</v>
      </c>
      <c r="J113" s="12"/>
      <c r="K113" s="3" t="e">
        <f t="shared" ref="K113:T113" si="39">K112/(1+$L95)^(K105-2006)</f>
        <v>#REF!</v>
      </c>
      <c r="L113" s="3" t="e">
        <f t="shared" si="39"/>
        <v>#REF!</v>
      </c>
      <c r="M113" s="3" t="e">
        <f t="shared" si="39"/>
        <v>#REF!</v>
      </c>
      <c r="N113" s="3" t="e">
        <f t="shared" si="39"/>
        <v>#REF!</v>
      </c>
      <c r="O113" s="3" t="e">
        <f t="shared" si="39"/>
        <v>#REF!</v>
      </c>
      <c r="P113" s="3" t="e">
        <f t="shared" si="39"/>
        <v>#REF!</v>
      </c>
      <c r="Q113" s="3" t="e">
        <f t="shared" si="39"/>
        <v>#REF!</v>
      </c>
      <c r="R113" s="3" t="e">
        <f t="shared" si="39"/>
        <v>#REF!</v>
      </c>
      <c r="S113" s="3" t="e">
        <f t="shared" si="39"/>
        <v>#REF!</v>
      </c>
      <c r="T113" s="3" t="e">
        <f t="shared" si="39"/>
        <v>#REF!</v>
      </c>
      <c r="U113" s="3" t="e">
        <f>T113/(L95-L97)</f>
        <v>#REF!</v>
      </c>
    </row>
    <row r="115" spans="8:21" x14ac:dyDescent="0.3">
      <c r="H115" t="s">
        <v>11</v>
      </c>
      <c r="J115" s="3" t="e">
        <f>SUM(J113:U113)</f>
        <v>#REF!</v>
      </c>
    </row>
  </sheetData>
  <pageMargins left="0.7" right="0.7" top="0.75" bottom="0.75" header="0.3" footer="0.3"/>
  <pageSetup orientation="portrait" horizontalDpi="300" verticalDpi="300" r:id="rId1"/>
  <drawing r:id="rId2"/>
  <picture r:id="rId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1"/>
  <sheetViews>
    <sheetView workbookViewId="0"/>
  </sheetViews>
  <sheetFormatPr defaultColWidth="15.77734375" defaultRowHeight="14.4" x14ac:dyDescent="0.3"/>
  <cols>
    <col min="1" max="16384" width="15.77734375" style="14"/>
  </cols>
  <sheetData>
    <row r="1" spans="1:16" x14ac:dyDescent="0.3">
      <c r="A1" s="14" t="s">
        <v>27</v>
      </c>
      <c r="B1" s="15" t="s">
        <v>124</v>
      </c>
      <c r="E1" s="14" t="s">
        <v>35</v>
      </c>
      <c r="F1" s="14">
        <v>3</v>
      </c>
      <c r="H1" s="14" t="s">
        <v>41</v>
      </c>
      <c r="I1" s="15" t="s">
        <v>67</v>
      </c>
      <c r="K1" s="14" t="s">
        <v>46</v>
      </c>
      <c r="L1" s="14">
        <v>100</v>
      </c>
    </row>
    <row r="2" spans="1:16" x14ac:dyDescent="0.3">
      <c r="A2" s="14" t="s">
        <v>28</v>
      </c>
      <c r="B2" s="14" t="e">
        <f>Scenarios!#REF!</f>
        <v>#REF!</v>
      </c>
      <c r="E2" s="14" t="s">
        <v>36</v>
      </c>
      <c r="F2" s="14">
        <f>_xll.PTreeEvaluate5(B3,$L$11:$L$21,$J$11:$J$21,$K$11:$K$21,$N$11:$N$21,$G$11:$G$21,,L1)</f>
        <v>8773250</v>
      </c>
    </row>
    <row r="3" spans="1:16" x14ac:dyDescent="0.3">
      <c r="A3" s="14" t="s">
        <v>29</v>
      </c>
      <c r="B3" s="14" t="s">
        <v>123</v>
      </c>
      <c r="E3" s="14" t="s">
        <v>37</v>
      </c>
      <c r="F3" s="15" t="s">
        <v>121</v>
      </c>
      <c r="H3" s="14" t="s">
        <v>42</v>
      </c>
      <c r="I3" s="16" t="s">
        <v>65</v>
      </c>
    </row>
    <row r="4" spans="1:16" x14ac:dyDescent="0.3">
      <c r="A4" s="14" t="s">
        <v>30</v>
      </c>
      <c r="B4" s="14" t="s">
        <v>62</v>
      </c>
      <c r="E4" s="14" t="s">
        <v>38</v>
      </c>
      <c r="F4" s="15" t="s">
        <v>64</v>
      </c>
      <c r="H4" s="14" t="s">
        <v>43</v>
      </c>
      <c r="I4" s="15" t="s">
        <v>66</v>
      </c>
    </row>
    <row r="5" spans="1:16" x14ac:dyDescent="0.3">
      <c r="A5" s="14" t="s">
        <v>31</v>
      </c>
      <c r="B5" s="14">
        <v>0</v>
      </c>
      <c r="E5" s="14" t="s">
        <v>39</v>
      </c>
      <c r="F5" s="15" t="s">
        <v>64</v>
      </c>
      <c r="H5" s="14" t="s">
        <v>44</v>
      </c>
      <c r="I5" s="16" t="s">
        <v>65</v>
      </c>
    </row>
    <row r="6" spans="1:16" x14ac:dyDescent="0.3">
      <c r="A6" s="14" t="s">
        <v>32</v>
      </c>
      <c r="E6" s="14" t="s">
        <v>40</v>
      </c>
      <c r="F6" s="15" t="s">
        <v>121</v>
      </c>
      <c r="H6" s="14" t="s">
        <v>45</v>
      </c>
      <c r="I6" s="15" t="s">
        <v>66</v>
      </c>
    </row>
    <row r="7" spans="1:16" x14ac:dyDescent="0.3">
      <c r="A7" s="14" t="s">
        <v>33</v>
      </c>
    </row>
    <row r="8" spans="1:16" x14ac:dyDescent="0.3">
      <c r="A8" s="14" t="s">
        <v>34</v>
      </c>
      <c r="B8" s="14">
        <v>11</v>
      </c>
    </row>
    <row r="10" spans="1:16" x14ac:dyDescent="0.3">
      <c r="A10" s="14" t="s">
        <v>47</v>
      </c>
      <c r="B10" s="14" t="s">
        <v>48</v>
      </c>
      <c r="C10" s="14" t="s">
        <v>49</v>
      </c>
      <c r="D10" s="14" t="s">
        <v>50</v>
      </c>
      <c r="E10" s="14" t="s">
        <v>51</v>
      </c>
      <c r="F10" s="14" t="s">
        <v>52</v>
      </c>
      <c r="G10" s="14" t="s">
        <v>53</v>
      </c>
      <c r="H10" s="14" t="s">
        <v>54</v>
      </c>
      <c r="I10" s="14" t="s">
        <v>55</v>
      </c>
      <c r="J10" s="14" t="s">
        <v>56</v>
      </c>
      <c r="K10" s="14" t="s">
        <v>57</v>
      </c>
      <c r="L10" s="14" t="s">
        <v>29</v>
      </c>
      <c r="M10" s="14" t="s">
        <v>58</v>
      </c>
      <c r="N10" s="14" t="s">
        <v>59</v>
      </c>
      <c r="O10" s="14" t="s">
        <v>60</v>
      </c>
      <c r="P10" s="14" t="s">
        <v>61</v>
      </c>
    </row>
    <row r="11" spans="1:16" x14ac:dyDescent="0.3">
      <c r="A11" s="14">
        <f>Scenarios!$C$18</f>
        <v>0.98514039086658423</v>
      </c>
      <c r="B11" s="14" t="str">
        <f>B1</f>
        <v>Hostile Acq?</v>
      </c>
      <c r="C11" s="14">
        <v>0</v>
      </c>
      <c r="I11" s="14" t="s">
        <v>68</v>
      </c>
      <c r="J11" s="14">
        <f>Scenarios!$B$18</f>
        <v>0</v>
      </c>
      <c r="K11" s="14">
        <f>Scenarios!$B$17</f>
        <v>0</v>
      </c>
      <c r="L11" s="14" t="s">
        <v>77</v>
      </c>
      <c r="M11" s="15" t="s">
        <v>69</v>
      </c>
      <c r="O11" s="14" t="str">
        <f>Scenarios!$C$17</f>
        <v>Go Hostile!</v>
      </c>
      <c r="P11" s="14" t="b">
        <v>0</v>
      </c>
    </row>
    <row r="12" spans="1:16" x14ac:dyDescent="0.3">
      <c r="A12" s="14">
        <f>Scenarios!$D$10</f>
        <v>0.98514039086658423</v>
      </c>
      <c r="B12" s="15" t="s">
        <v>125</v>
      </c>
      <c r="C12" s="14">
        <v>0</v>
      </c>
      <c r="I12" s="14" t="s">
        <v>68</v>
      </c>
      <c r="J12" s="14">
        <f>Scenarios!$C$10</f>
        <v>-9.1</v>
      </c>
      <c r="L12" s="14" t="s">
        <v>78</v>
      </c>
      <c r="M12" s="15" t="s">
        <v>69</v>
      </c>
      <c r="O12" s="14" t="str">
        <f>Scenarios!$D$9</f>
        <v>Will it close?</v>
      </c>
      <c r="P12" s="14" t="b">
        <v>0</v>
      </c>
    </row>
    <row r="13" spans="1:16" x14ac:dyDescent="0.3">
      <c r="A13" s="14">
        <f>Scenarios!$D$22</f>
        <v>-0.21259261467146759</v>
      </c>
      <c r="B13" s="15" t="s">
        <v>126</v>
      </c>
      <c r="C13" s="14">
        <v>0</v>
      </c>
      <c r="I13" s="14" t="s">
        <v>68</v>
      </c>
      <c r="J13" s="14">
        <f>Scenarios!$C$22</f>
        <v>0</v>
      </c>
      <c r="L13" s="14" t="s">
        <v>132</v>
      </c>
      <c r="M13" s="15" t="s">
        <v>69</v>
      </c>
      <c r="O13" s="14" t="str">
        <f>Scenarios!$D$21</f>
        <v>Rival (DT) Val Created?</v>
      </c>
      <c r="P13" s="14" t="b">
        <v>0</v>
      </c>
    </row>
    <row r="14" spans="1:16" x14ac:dyDescent="0.3">
      <c r="A14" s="14">
        <f>Scenarios!$E$6</f>
        <v>7.850295727891953</v>
      </c>
      <c r="B14" s="15" t="s">
        <v>127</v>
      </c>
      <c r="C14" s="14">
        <v>0</v>
      </c>
      <c r="I14" s="14" t="s">
        <v>68</v>
      </c>
      <c r="J14" s="14">
        <f>Scenarios!$D$6</f>
        <v>0</v>
      </c>
      <c r="K14" s="14">
        <f>Scenarios!$D$5</f>
        <v>0.6</v>
      </c>
      <c r="L14" s="14" t="s">
        <v>79</v>
      </c>
      <c r="M14" s="15" t="s">
        <v>69</v>
      </c>
      <c r="O14" s="14" t="str">
        <f>Scenarios!$E$5</f>
        <v>DG Value Created?</v>
      </c>
      <c r="P14" s="14" t="b">
        <v>0</v>
      </c>
    </row>
    <row r="15" spans="1:16" x14ac:dyDescent="0.3">
      <c r="A15" s="14">
        <f>Scenarios!$E$14</f>
        <v>-9.3125926146714679</v>
      </c>
      <c r="B15" s="15" t="s">
        <v>128</v>
      </c>
      <c r="C15" s="14">
        <v>0</v>
      </c>
      <c r="I15" s="14" t="s">
        <v>68</v>
      </c>
      <c r="J15" s="14">
        <f>Scenarios!$D$14</f>
        <v>0</v>
      </c>
      <c r="K15" s="14">
        <f>Scenarios!$D$13</f>
        <v>0.4</v>
      </c>
      <c r="L15" s="14" t="s">
        <v>115</v>
      </c>
      <c r="M15" s="15" t="s">
        <v>69</v>
      </c>
      <c r="O15" s="14" t="str">
        <f>Scenarios!$E$13</f>
        <v>Rival (DT) Val Created?</v>
      </c>
      <c r="P15" s="14" t="b">
        <v>0</v>
      </c>
    </row>
    <row r="16" spans="1:16" x14ac:dyDescent="0.3">
      <c r="A16" s="14">
        <f>Scenarios!$F$4</f>
        <v>22.860492751872492</v>
      </c>
      <c r="B16" s="15" t="s">
        <v>129</v>
      </c>
      <c r="C16" s="14">
        <v>0</v>
      </c>
      <c r="H16" s="14" t="s">
        <v>68</v>
      </c>
      <c r="I16" s="14" t="s">
        <v>68</v>
      </c>
      <c r="J16" s="14">
        <f>Scenarios!$E$4</f>
        <v>31.96049275187249</v>
      </c>
      <c r="K16" s="14">
        <f>Scenarios!$E$3</f>
        <v>0.4</v>
      </c>
      <c r="L16" s="14" t="s">
        <v>73</v>
      </c>
      <c r="M16" s="15" t="s">
        <v>69</v>
      </c>
      <c r="P16" s="14" t="b">
        <v>0</v>
      </c>
    </row>
    <row r="17" spans="1:16" x14ac:dyDescent="0.3">
      <c r="A17" s="14">
        <f>Scenarios!$F$8</f>
        <v>-2.1565022880950746</v>
      </c>
      <c r="B17" s="15" t="s">
        <v>130</v>
      </c>
      <c r="C17" s="14">
        <v>0</v>
      </c>
      <c r="H17" s="14" t="s">
        <v>68</v>
      </c>
      <c r="I17" s="14" t="s">
        <v>68</v>
      </c>
      <c r="J17" s="14">
        <f>Scenarios!$E$8</f>
        <v>6.943497711904925</v>
      </c>
      <c r="K17" s="14">
        <f>Scenarios!$E$7</f>
        <v>0.6</v>
      </c>
      <c r="L17" s="14" t="s">
        <v>73</v>
      </c>
      <c r="M17" s="15" t="s">
        <v>69</v>
      </c>
      <c r="P17" s="14" t="b">
        <v>0</v>
      </c>
    </row>
    <row r="18" spans="1:16" x14ac:dyDescent="0.3">
      <c r="A18" s="14">
        <f>Scenarios!$F$12</f>
        <v>-9.5580878436587842</v>
      </c>
      <c r="B18" s="15" t="s">
        <v>131</v>
      </c>
      <c r="C18" s="14">
        <v>0</v>
      </c>
      <c r="H18" s="14" t="s">
        <v>68</v>
      </c>
      <c r="I18" s="14" t="s">
        <v>68</v>
      </c>
      <c r="J18" s="14">
        <f>Scenarios!$E$12</f>
        <v>-0.45808784365878435</v>
      </c>
      <c r="K18" s="14">
        <f>Scenarios!$E$11</f>
        <v>0.6</v>
      </c>
      <c r="L18" s="14" t="s">
        <v>75</v>
      </c>
      <c r="M18" s="15" t="s">
        <v>69</v>
      </c>
      <c r="P18" s="14" t="b">
        <v>0</v>
      </c>
    </row>
    <row r="19" spans="1:16" x14ac:dyDescent="0.3">
      <c r="A19" s="14">
        <f>Scenarios!$F$16</f>
        <v>-8.9443497711904918</v>
      </c>
      <c r="B19" s="15" t="s">
        <v>142</v>
      </c>
      <c r="C19" s="14">
        <v>0</v>
      </c>
      <c r="H19" s="14" t="s">
        <v>68</v>
      </c>
      <c r="I19" s="14" t="s">
        <v>68</v>
      </c>
      <c r="J19" s="14">
        <f>Scenarios!$E$16</f>
        <v>0.15565022880950752</v>
      </c>
      <c r="K19" s="14">
        <f>Scenarios!$E$15</f>
        <v>0.4</v>
      </c>
      <c r="L19" s="14" t="s">
        <v>75</v>
      </c>
      <c r="M19" s="15" t="s">
        <v>69</v>
      </c>
      <c r="P19" s="14" t="b">
        <v>0</v>
      </c>
    </row>
    <row r="20" spans="1:16" x14ac:dyDescent="0.3">
      <c r="A20" s="14">
        <f>Scenarios!$E$20</f>
        <v>-0.45808784365878435</v>
      </c>
      <c r="B20" s="15" t="s">
        <v>131</v>
      </c>
      <c r="C20" s="14">
        <v>0</v>
      </c>
      <c r="H20" s="14" t="s">
        <v>68</v>
      </c>
      <c r="I20" s="14" t="s">
        <v>68</v>
      </c>
      <c r="J20" s="14">
        <f>Scenarios!$D$20</f>
        <v>-0.45808784365878435</v>
      </c>
      <c r="K20" s="14">
        <f>Scenarios!$D$19</f>
        <v>0.6</v>
      </c>
      <c r="L20" s="14" t="s">
        <v>72</v>
      </c>
      <c r="M20" s="15" t="s">
        <v>69</v>
      </c>
      <c r="P20" s="14" t="b">
        <v>0</v>
      </c>
    </row>
    <row r="21" spans="1:16" x14ac:dyDescent="0.3">
      <c r="A21" s="14">
        <f>Scenarios!$E$24</f>
        <v>0.15565022880950752</v>
      </c>
      <c r="B21" s="15" t="s">
        <v>142</v>
      </c>
      <c r="C21" s="14">
        <v>0</v>
      </c>
      <c r="H21" s="14" t="s">
        <v>68</v>
      </c>
      <c r="I21" s="14" t="s">
        <v>68</v>
      </c>
      <c r="J21" s="14">
        <f>Scenarios!$D$24</f>
        <v>0.15565022880950752</v>
      </c>
      <c r="K21" s="14">
        <f>Scenarios!$D$23</f>
        <v>0.4</v>
      </c>
      <c r="L21" s="14" t="s">
        <v>72</v>
      </c>
      <c r="M21" s="15" t="s">
        <v>69</v>
      </c>
      <c r="P21" s="14" t="b">
        <v>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5"/>
  <sheetViews>
    <sheetView workbookViewId="0"/>
  </sheetViews>
  <sheetFormatPr defaultColWidth="15.6640625" defaultRowHeight="14.4" x14ac:dyDescent="0.3"/>
  <cols>
    <col min="1" max="16384" width="15.6640625" style="14"/>
  </cols>
  <sheetData>
    <row r="1" spans="1:16" x14ac:dyDescent="0.25">
      <c r="A1" s="14" t="s">
        <v>27</v>
      </c>
      <c r="B1" s="15" t="s">
        <v>109</v>
      </c>
      <c r="E1" s="14" t="s">
        <v>35</v>
      </c>
      <c r="F1" s="14">
        <v>3</v>
      </c>
      <c r="H1" s="14" t="s">
        <v>41</v>
      </c>
      <c r="I1" s="15" t="s">
        <v>67</v>
      </c>
      <c r="K1" s="14" t="s">
        <v>46</v>
      </c>
      <c r="L1" s="14">
        <v>100</v>
      </c>
    </row>
    <row r="2" spans="1:16" x14ac:dyDescent="0.25">
      <c r="A2" s="14" t="s">
        <v>28</v>
      </c>
      <c r="B2" s="14" t="e">
        <f>DatingGame!#REF!</f>
        <v>#REF!</v>
      </c>
      <c r="E2" s="14" t="s">
        <v>36</v>
      </c>
      <c r="F2" s="14">
        <f>_xll.PTreeEvaluate5(B3,$L$11:$L$25,$J$11:$J$25,$K$11:$K$25,$N$11:$N$25,$G$11:$G$25,,L1)</f>
        <v>154369</v>
      </c>
    </row>
    <row r="3" spans="1:16" x14ac:dyDescent="0.25">
      <c r="A3" s="14" t="s">
        <v>29</v>
      </c>
      <c r="B3" s="14" t="s">
        <v>108</v>
      </c>
      <c r="E3" s="14" t="s">
        <v>37</v>
      </c>
      <c r="F3" s="15" t="s">
        <v>63</v>
      </c>
      <c r="H3" s="14" t="s">
        <v>42</v>
      </c>
      <c r="I3" s="16" t="s">
        <v>65</v>
      </c>
    </row>
    <row r="4" spans="1:16" x14ac:dyDescent="0.25">
      <c r="A4" s="14" t="s">
        <v>30</v>
      </c>
      <c r="B4" s="14" t="s">
        <v>62</v>
      </c>
      <c r="E4" s="14" t="s">
        <v>38</v>
      </c>
      <c r="F4" s="15" t="s">
        <v>64</v>
      </c>
      <c r="H4" s="14" t="s">
        <v>43</v>
      </c>
      <c r="I4" s="15" t="s">
        <v>66</v>
      </c>
    </row>
    <row r="5" spans="1:16" x14ac:dyDescent="0.25">
      <c r="A5" s="14" t="s">
        <v>31</v>
      </c>
      <c r="B5" s="14">
        <v>0</v>
      </c>
      <c r="E5" s="14" t="s">
        <v>39</v>
      </c>
      <c r="F5" s="15" t="s">
        <v>64</v>
      </c>
      <c r="H5" s="14" t="s">
        <v>44</v>
      </c>
      <c r="I5" s="16" t="s">
        <v>65</v>
      </c>
    </row>
    <row r="6" spans="1:16" x14ac:dyDescent="0.25">
      <c r="A6" s="14" t="s">
        <v>32</v>
      </c>
      <c r="E6" s="14" t="s">
        <v>40</v>
      </c>
      <c r="F6" s="15" t="s">
        <v>121</v>
      </c>
      <c r="H6" s="14" t="s">
        <v>45</v>
      </c>
      <c r="I6" s="15" t="s">
        <v>66</v>
      </c>
    </row>
    <row r="7" spans="1:16" x14ac:dyDescent="0.25">
      <c r="A7" s="14" t="s">
        <v>33</v>
      </c>
    </row>
    <row r="8" spans="1:16" x14ac:dyDescent="0.25">
      <c r="A8" s="14" t="s">
        <v>34</v>
      </c>
      <c r="B8" s="14">
        <v>15</v>
      </c>
    </row>
    <row r="10" spans="1:16" x14ac:dyDescent="0.25">
      <c r="A10" s="14" t="s">
        <v>47</v>
      </c>
      <c r="B10" s="14" t="s">
        <v>48</v>
      </c>
      <c r="C10" s="14" t="s">
        <v>49</v>
      </c>
      <c r="D10" s="14" t="s">
        <v>50</v>
      </c>
      <c r="E10" s="14" t="s">
        <v>51</v>
      </c>
      <c r="F10" s="14" t="s">
        <v>52</v>
      </c>
      <c r="G10" s="14" t="s">
        <v>53</v>
      </c>
      <c r="H10" s="14" t="s">
        <v>54</v>
      </c>
      <c r="I10" s="14" t="s">
        <v>55</v>
      </c>
      <c r="J10" s="14" t="s">
        <v>56</v>
      </c>
      <c r="K10" s="14" t="s">
        <v>57</v>
      </c>
      <c r="L10" s="14" t="s">
        <v>29</v>
      </c>
      <c r="M10" s="14" t="s">
        <v>58</v>
      </c>
      <c r="N10" s="14" t="s">
        <v>59</v>
      </c>
      <c r="O10" s="14" t="s">
        <v>60</v>
      </c>
      <c r="P10" s="14" t="s">
        <v>61</v>
      </c>
    </row>
    <row r="11" spans="1:16" x14ac:dyDescent="0.25">
      <c r="A11" s="14">
        <f>DatingGame!$C$18</f>
        <v>0</v>
      </c>
      <c r="B11" s="14" t="str">
        <f>B1</f>
        <v>Dating Game</v>
      </c>
      <c r="C11" s="14">
        <v>0</v>
      </c>
      <c r="I11" s="14" t="s">
        <v>68</v>
      </c>
      <c r="J11" s="14">
        <f>DatingGame!$B$18</f>
        <v>0</v>
      </c>
      <c r="K11" s="14">
        <f>DatingGame!$B$17</f>
        <v>0</v>
      </c>
      <c r="L11" s="14" t="s">
        <v>77</v>
      </c>
      <c r="M11" s="15" t="s">
        <v>69</v>
      </c>
      <c r="O11" s="14" t="str">
        <f>DatingGame!$C$17</f>
        <v>Decision</v>
      </c>
      <c r="P11" s="14" t="b">
        <v>0</v>
      </c>
    </row>
    <row r="12" spans="1:16" x14ac:dyDescent="0.25">
      <c r="A12" s="14">
        <f>DatingGame!$D$10</f>
        <v>-29</v>
      </c>
      <c r="B12" s="15" t="s">
        <v>111</v>
      </c>
      <c r="C12" s="14">
        <v>0</v>
      </c>
      <c r="I12" s="14" t="s">
        <v>68</v>
      </c>
      <c r="J12" s="14">
        <f>DatingGame!$C$10</f>
        <v>-29</v>
      </c>
      <c r="L12" s="14" t="s">
        <v>78</v>
      </c>
      <c r="M12" s="15" t="s">
        <v>69</v>
      </c>
      <c r="O12" s="14" t="str">
        <f>DatingGame!$D$9</f>
        <v>Chance</v>
      </c>
      <c r="P12" s="14" t="b">
        <v>0</v>
      </c>
    </row>
    <row r="13" spans="1:16" x14ac:dyDescent="0.25">
      <c r="A13" s="14">
        <f>DatingGame!$D$26</f>
        <v>0</v>
      </c>
      <c r="B13" s="15" t="s">
        <v>70</v>
      </c>
      <c r="C13" s="14">
        <v>0</v>
      </c>
      <c r="I13" s="14" t="s">
        <v>68</v>
      </c>
      <c r="J13" s="14">
        <f>DatingGame!$C$26</f>
        <v>0</v>
      </c>
      <c r="L13" s="14" t="s">
        <v>116</v>
      </c>
      <c r="M13" s="15" t="s">
        <v>69</v>
      </c>
      <c r="O13" s="14" t="str">
        <f>DatingGame!$D$25</f>
        <v>Chance</v>
      </c>
      <c r="P13" s="14" t="b">
        <v>0</v>
      </c>
    </row>
    <row r="14" spans="1:16" x14ac:dyDescent="0.25">
      <c r="A14" s="14">
        <f>DatingGame!$E$6</f>
        <v>-29</v>
      </c>
      <c r="B14" s="15" t="s">
        <v>71</v>
      </c>
      <c r="C14" s="14">
        <v>0</v>
      </c>
      <c r="I14" s="14" t="s">
        <v>68</v>
      </c>
      <c r="J14" s="14">
        <f>DatingGame!$D$6</f>
        <v>0</v>
      </c>
      <c r="K14" s="14">
        <f>DatingGame!$D$5</f>
        <v>0.05</v>
      </c>
      <c r="L14" s="14" t="s">
        <v>79</v>
      </c>
      <c r="M14" s="15" t="s">
        <v>69</v>
      </c>
      <c r="O14" s="14" t="str">
        <f>DatingGame!$E$5</f>
        <v>Chance</v>
      </c>
      <c r="P14" s="14" t="b">
        <v>0</v>
      </c>
    </row>
    <row r="15" spans="1:16" x14ac:dyDescent="0.25">
      <c r="A15" s="14">
        <f>DatingGame!$E$14</f>
        <v>-29</v>
      </c>
      <c r="B15" s="15" t="s">
        <v>113</v>
      </c>
      <c r="C15" s="14">
        <v>0</v>
      </c>
      <c r="I15" s="14" t="s">
        <v>68</v>
      </c>
      <c r="J15" s="14">
        <f>DatingGame!$D$14</f>
        <v>0</v>
      </c>
      <c r="K15" s="14">
        <f>DatingGame!$D$13</f>
        <v>0.95</v>
      </c>
      <c r="L15" s="14" t="s">
        <v>115</v>
      </c>
      <c r="M15" s="15" t="s">
        <v>69</v>
      </c>
      <c r="O15" s="14" t="str">
        <f>DatingGame!$E$13</f>
        <v>Chance</v>
      </c>
      <c r="P15" s="14" t="b">
        <v>0</v>
      </c>
    </row>
    <row r="16" spans="1:16" x14ac:dyDescent="0.25">
      <c r="A16" s="14">
        <f>DatingGame!$F$4</f>
        <v>-29</v>
      </c>
      <c r="B16" s="15" t="s">
        <v>76</v>
      </c>
      <c r="C16" s="14">
        <v>0</v>
      </c>
      <c r="H16" s="14" t="s">
        <v>68</v>
      </c>
      <c r="I16" s="14" t="s">
        <v>68</v>
      </c>
      <c r="J16" s="14">
        <f>DatingGame!$E$4</f>
        <v>0</v>
      </c>
      <c r="K16" s="14">
        <f>DatingGame!$E$3</f>
        <v>0.5</v>
      </c>
      <c r="L16" s="14" t="s">
        <v>73</v>
      </c>
      <c r="M16" s="15" t="s">
        <v>69</v>
      </c>
      <c r="P16" s="14" t="b">
        <v>0</v>
      </c>
    </row>
    <row r="17" spans="1:16" x14ac:dyDescent="0.25">
      <c r="A17" s="14">
        <f>DatingGame!$F$8</f>
        <v>-29</v>
      </c>
      <c r="B17" s="15" t="s">
        <v>114</v>
      </c>
      <c r="C17" s="14">
        <v>0</v>
      </c>
      <c r="H17" s="14" t="s">
        <v>68</v>
      </c>
      <c r="I17" s="14" t="s">
        <v>68</v>
      </c>
      <c r="J17" s="14">
        <f>DatingGame!$E$8</f>
        <v>0</v>
      </c>
      <c r="K17" s="14">
        <f>DatingGame!$E$7</f>
        <v>0.5</v>
      </c>
      <c r="L17" s="14" t="s">
        <v>73</v>
      </c>
      <c r="M17" s="15" t="s">
        <v>69</v>
      </c>
      <c r="P17" s="14" t="b">
        <v>0</v>
      </c>
    </row>
    <row r="18" spans="1:16" x14ac:dyDescent="0.25">
      <c r="A18" s="14">
        <f>DatingGame!$F$12</f>
        <v>-29</v>
      </c>
      <c r="B18" s="15" t="s">
        <v>76</v>
      </c>
      <c r="C18" s="14">
        <v>0</v>
      </c>
      <c r="H18" s="14" t="s">
        <v>68</v>
      </c>
      <c r="I18" s="14" t="s">
        <v>68</v>
      </c>
      <c r="J18" s="14">
        <f>DatingGame!$E$12</f>
        <v>0</v>
      </c>
      <c r="K18" s="14">
        <f>DatingGame!$E$11</f>
        <v>0.5</v>
      </c>
      <c r="L18" s="14" t="s">
        <v>75</v>
      </c>
      <c r="M18" s="15" t="s">
        <v>69</v>
      </c>
      <c r="P18" s="14" t="b">
        <v>0</v>
      </c>
    </row>
    <row r="19" spans="1:16" x14ac:dyDescent="0.25">
      <c r="A19" s="14">
        <f>DatingGame!$F$16</f>
        <v>-29</v>
      </c>
      <c r="B19" s="15" t="s">
        <v>114</v>
      </c>
      <c r="C19" s="14">
        <v>0</v>
      </c>
      <c r="H19" s="14" t="s">
        <v>68</v>
      </c>
      <c r="I19" s="14" t="s">
        <v>68</v>
      </c>
      <c r="J19" s="14">
        <f>DatingGame!$E$16</f>
        <v>0</v>
      </c>
      <c r="K19" s="14">
        <f>DatingGame!$E$15</f>
        <v>0.5</v>
      </c>
      <c r="L19" s="14" t="s">
        <v>75</v>
      </c>
      <c r="M19" s="15" t="s">
        <v>69</v>
      </c>
      <c r="P19" s="14" t="b">
        <v>0</v>
      </c>
    </row>
    <row r="20" spans="1:16" x14ac:dyDescent="0.25">
      <c r="A20" s="14">
        <f>DatingGame!$E$22</f>
        <v>0</v>
      </c>
      <c r="B20" s="15" t="s">
        <v>71</v>
      </c>
      <c r="C20" s="14">
        <v>0</v>
      </c>
      <c r="I20" s="14" t="s">
        <v>68</v>
      </c>
      <c r="J20" s="14">
        <f>DatingGame!$D$22</f>
        <v>0</v>
      </c>
      <c r="K20" s="14">
        <f>DatingGame!$D$21</f>
        <v>0.01</v>
      </c>
      <c r="L20" s="14" t="s">
        <v>117</v>
      </c>
      <c r="M20" s="15" t="s">
        <v>69</v>
      </c>
      <c r="O20" s="14" t="str">
        <f>DatingGame!$E$21</f>
        <v>Chance</v>
      </c>
      <c r="P20" s="14" t="b">
        <v>0</v>
      </c>
    </row>
    <row r="21" spans="1:16" x14ac:dyDescent="0.25">
      <c r="A21" s="14">
        <f>DatingGame!$F$20</f>
        <v>0</v>
      </c>
      <c r="B21" s="15" t="s">
        <v>76</v>
      </c>
      <c r="C21" s="14">
        <v>0</v>
      </c>
      <c r="H21" s="14" t="s">
        <v>68</v>
      </c>
      <c r="I21" s="14" t="s">
        <v>68</v>
      </c>
      <c r="J21" s="14">
        <f>DatingGame!$E$20</f>
        <v>0</v>
      </c>
      <c r="K21" s="14">
        <f>DatingGame!$E$19</f>
        <v>0.5</v>
      </c>
      <c r="L21" s="14" t="s">
        <v>118</v>
      </c>
      <c r="M21" s="15" t="s">
        <v>69</v>
      </c>
      <c r="P21" s="14" t="b">
        <v>0</v>
      </c>
    </row>
    <row r="22" spans="1:16" x14ac:dyDescent="0.25">
      <c r="A22" s="14">
        <f>DatingGame!$F$24</f>
        <v>0</v>
      </c>
      <c r="B22" s="15" t="s">
        <v>114</v>
      </c>
      <c r="C22" s="14">
        <v>0</v>
      </c>
      <c r="H22" s="14" t="s">
        <v>68</v>
      </c>
      <c r="I22" s="14" t="s">
        <v>68</v>
      </c>
      <c r="J22" s="14">
        <f>DatingGame!$E$24</f>
        <v>0</v>
      </c>
      <c r="K22" s="14">
        <f>DatingGame!$E$23</f>
        <v>0.5</v>
      </c>
      <c r="L22" s="14" t="s">
        <v>118</v>
      </c>
      <c r="M22" s="15" t="s">
        <v>69</v>
      </c>
      <c r="P22" s="14" t="b">
        <v>0</v>
      </c>
    </row>
    <row r="23" spans="1:16" x14ac:dyDescent="0.25">
      <c r="A23" s="14">
        <f>DatingGame!$E$30</f>
        <v>0</v>
      </c>
      <c r="B23" s="15" t="s">
        <v>113</v>
      </c>
      <c r="C23" s="14">
        <v>0</v>
      </c>
      <c r="I23" s="14" t="s">
        <v>68</v>
      </c>
      <c r="J23" s="14">
        <f>DatingGame!$D$30</f>
        <v>0</v>
      </c>
      <c r="K23" s="14">
        <f>DatingGame!$D$29</f>
        <v>0.99</v>
      </c>
      <c r="L23" s="14" t="s">
        <v>119</v>
      </c>
      <c r="M23" s="15" t="s">
        <v>69</v>
      </c>
      <c r="O23" s="14" t="str">
        <f>DatingGame!$E$29</f>
        <v>Chance</v>
      </c>
      <c r="P23" s="14" t="b">
        <v>0</v>
      </c>
    </row>
    <row r="24" spans="1:16" x14ac:dyDescent="0.25">
      <c r="A24" s="14">
        <f>DatingGame!$F$28</f>
        <v>0</v>
      </c>
      <c r="B24" s="15" t="s">
        <v>76</v>
      </c>
      <c r="C24" s="14">
        <v>0</v>
      </c>
      <c r="H24" s="14" t="s">
        <v>68</v>
      </c>
      <c r="I24" s="14" t="s">
        <v>68</v>
      </c>
      <c r="J24" s="14">
        <f>DatingGame!$E$28</f>
        <v>0</v>
      </c>
      <c r="K24" s="14">
        <f>DatingGame!$E$27</f>
        <v>0.5</v>
      </c>
      <c r="L24" s="14" t="s">
        <v>120</v>
      </c>
      <c r="M24" s="15" t="s">
        <v>69</v>
      </c>
      <c r="P24" s="14" t="b">
        <v>0</v>
      </c>
    </row>
    <row r="25" spans="1:16" x14ac:dyDescent="0.25">
      <c r="A25" s="14">
        <f>DatingGame!$F$32</f>
        <v>0</v>
      </c>
      <c r="B25" s="15" t="s">
        <v>114</v>
      </c>
      <c r="C25" s="14">
        <v>0</v>
      </c>
      <c r="H25" s="14" t="s">
        <v>68</v>
      </c>
      <c r="I25" s="14" t="s">
        <v>68</v>
      </c>
      <c r="J25" s="14">
        <f>DatingGame!$E$32</f>
        <v>0</v>
      </c>
      <c r="K25" s="14">
        <f>DatingGame!$E$31</f>
        <v>0.5</v>
      </c>
      <c r="L25" s="14" t="s">
        <v>120</v>
      </c>
      <c r="M25" s="15" t="s">
        <v>69</v>
      </c>
      <c r="P25" s="14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Scenarios</vt:lpstr>
      <vt:lpstr>SensitivityAnalysis</vt:lpstr>
      <vt:lpstr>DatingGame</vt:lpstr>
      <vt:lpstr>treeCalc_2</vt:lpstr>
      <vt:lpstr>treeCalc_1</vt:lpstr>
    </vt:vector>
  </TitlesOfParts>
  <Company>Emory University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Russ Coff</dc:creator>
  <cp:lastModifiedBy>Russ Coff</cp:lastModifiedBy>
  <dcterms:created xsi:type="dcterms:W3CDTF">2010-07-12T21:39:58Z</dcterms:created>
  <dcterms:modified xsi:type="dcterms:W3CDTF">2014-10-18T13:44:55Z</dcterms:modified>
</cp:coreProperties>
</file>