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rcoff\Dropbox\Teaching\ClassEMBA\"/>
    </mc:Choice>
  </mc:AlternateContent>
  <bookViews>
    <workbookView xWindow="204" yWindow="456" windowWidth="31620" windowHeight="19584"/>
  </bookViews>
  <sheets>
    <sheet name="Financial Models" sheetId="1" r:id="rId1"/>
    <sheet name="Example Decision Tree" sheetId="2" r:id="rId2"/>
    <sheet name="Sensitivity" sheetId="6" r:id="rId3"/>
    <sheet name="Sheet1" sheetId="4" r:id="rId4"/>
    <sheet name="treeCalc_1" sheetId="5" state="hidden" r:id="rId5"/>
  </sheets>
  <externalReferences>
    <externalReference r:id="rId6"/>
  </externalReferences>
  <definedNames>
    <definedName name="PTree_SensitivityAnalysis_AnalysisType" hidden="1">1</definedName>
    <definedName name="PTree_SensitivityAnalysis_GraphsDisplayPercentageChange" hidden="1">FALSE</definedName>
    <definedName name="PTree_SensitivityAnalysis_IncludeSensitivityGraph" hidden="1">TRUE</definedName>
    <definedName name="PTree_SensitivityAnalysis_IncludeSpiderGraph" hidden="1">TRUE</definedName>
    <definedName name="PTree_SensitivityAnalysis_IncludeStrategyRegion" hidden="1">TRUE</definedName>
    <definedName name="PTree_SensitivityAnalysis_IncludeTornadoGraph" hidden="1">TRUE</definedName>
    <definedName name="PTree_SensitivityAnalysis_Inputs_1_AlternateCellLabel" hidden="1">"P(Improve)"</definedName>
    <definedName name="PTree_SensitivityAnalysis_Inputs_1_BaseValueIsAutomatic" hidden="1">TRUE</definedName>
    <definedName name="PTree_SensitivityAnalysis_Inputs_1_MaintainProbabilityNormalization" hidden="1">FALSE</definedName>
    <definedName name="PTree_SensitivityAnalysis_Inputs_1_ManualBaseValue" hidden="1">0</definedName>
    <definedName name="PTree_SensitivityAnalysis_Inputs_1_Maximum" hidden="1">25</definedName>
    <definedName name="PTree_SensitivityAnalysis_Inputs_1_Minimum" hidden="1">-25</definedName>
    <definedName name="PTree_SensitivityAnalysis_Inputs_1_OneWayAnalysis" hidden="1">1</definedName>
    <definedName name="PTree_SensitivityAnalysis_Inputs_1_Steps" hidden="1">11</definedName>
    <definedName name="PTree_SensitivityAnalysis_Inputs_1_TwoWayAnalysis" hidden="1">1</definedName>
    <definedName name="PTree_SensitivityAnalysis_Inputs_1_VariationMethod" hidden="1">0</definedName>
    <definedName name="PTree_SensitivityAnalysis_Inputs_1_VaryCell" hidden="1">'Example Decision Tree'!$C$4</definedName>
    <definedName name="PTree_SensitivityAnalysis_Inputs_2_AlternateCellLabel" hidden="1">"P(Rival)"</definedName>
    <definedName name="PTree_SensitivityAnalysis_Inputs_2_BaseValueIsAutomatic" hidden="1">TRUE</definedName>
    <definedName name="PTree_SensitivityAnalysis_Inputs_2_MaintainProbabilityNormalization" hidden="1">FALSE</definedName>
    <definedName name="PTree_SensitivityAnalysis_Inputs_2_ManualBaseValue" hidden="1">0</definedName>
    <definedName name="PTree_SensitivityAnalysis_Inputs_2_Maximum" hidden="1">25</definedName>
    <definedName name="PTree_SensitivityAnalysis_Inputs_2_Minimum" hidden="1">-25</definedName>
    <definedName name="PTree_SensitivityAnalysis_Inputs_2_OneWayAnalysis" hidden="1">1</definedName>
    <definedName name="PTree_SensitivityAnalysis_Inputs_2_Steps" hidden="1">11</definedName>
    <definedName name="PTree_SensitivityAnalysis_Inputs_2_TwoWayAnalysis" hidden="1">2</definedName>
    <definedName name="PTree_SensitivityAnalysis_Inputs_2_VariationMethod" hidden="1">0</definedName>
    <definedName name="PTree_SensitivityAnalysis_Inputs_2_VaryCell" hidden="1">'Example Decision Tree'!$D$2</definedName>
    <definedName name="PTree_SensitivityAnalysis_Inputs_3_AlternateCellLabel" hidden="1">"BestCase"</definedName>
    <definedName name="PTree_SensitivityAnalysis_Inputs_3_BaseValueIsAutomatic" hidden="1">TRUE</definedName>
    <definedName name="PTree_SensitivityAnalysis_Inputs_3_MaintainProbabilityNormalization" hidden="1">FALSE</definedName>
    <definedName name="PTree_SensitivityAnalysis_Inputs_3_ManualBaseValue" hidden="1">0</definedName>
    <definedName name="PTree_SensitivityAnalysis_Inputs_3_Maximum" hidden="1">25</definedName>
    <definedName name="PTree_SensitivityAnalysis_Inputs_3_Minimum" hidden="1">-25</definedName>
    <definedName name="PTree_SensitivityAnalysis_Inputs_3_OneWayAnalysis" hidden="1">1</definedName>
    <definedName name="PTree_SensitivityAnalysis_Inputs_3_Steps" hidden="1">11</definedName>
    <definedName name="PTree_SensitivityAnalysis_Inputs_3_TwoWayAnalysis" hidden="1">0</definedName>
    <definedName name="PTree_SensitivityAnalysis_Inputs_3_VariationMethod" hidden="1">0</definedName>
    <definedName name="PTree_SensitivityAnalysis_Inputs_3_VaryCell" hidden="1">'Example Decision Tree'!$D$7</definedName>
    <definedName name="PTree_SensitivityAnalysis_Inputs_4_AlternateCellLabel" hidden="1">"Disc Rate"</definedName>
    <definedName name="PTree_SensitivityAnalysis_Inputs_4_BaseValueIsAutomatic" hidden="1">TRUE</definedName>
    <definedName name="PTree_SensitivityAnalysis_Inputs_4_MaintainProbabilityNormalization" hidden="1">FALSE</definedName>
    <definedName name="PTree_SensitivityAnalysis_Inputs_4_ManualBaseValue" hidden="1">0</definedName>
    <definedName name="PTree_SensitivityAnalysis_Inputs_4_Maximum" hidden="1">25</definedName>
    <definedName name="PTree_SensitivityAnalysis_Inputs_4_Minimum" hidden="1">-25</definedName>
    <definedName name="PTree_SensitivityAnalysis_Inputs_4_OneWayAnalysis" hidden="1">1</definedName>
    <definedName name="PTree_SensitivityAnalysis_Inputs_4_Steps" hidden="1">11</definedName>
    <definedName name="PTree_SensitivityAnalysis_Inputs_4_TwoWayAnalysis" hidden="1">0</definedName>
    <definedName name="PTree_SensitivityAnalysis_Inputs_4_VariationMethod" hidden="1">0</definedName>
    <definedName name="PTree_SensitivityAnalysis_Inputs_4_VaryCell" hidden="1">'Financial Models'!$H$23</definedName>
    <definedName name="PTree_SensitivityAnalysis_Inputs_Count" hidden="1">4</definedName>
    <definedName name="PTree_SensitivityAnalysis_Output_AlternateCellLabel" hidden="1">""</definedName>
    <definedName name="PTree_SensitivityAnalysis_Output_Model" hidden="1">PTreeObjectReference(PTDecisionTree_1,treeCalc_1!$A$1)</definedName>
    <definedName name="PTree_SensitivityAnalysis_Output_OutputType" hidden="1">1</definedName>
    <definedName name="PTree_SensitivityAnalysis_Output_StartingNode" hidden="1">PTreeObjectReference(NULL,NULL)</definedName>
    <definedName name="PTree_SensitivityAnalysis_ReportPlacement" hidden="1">1</definedName>
    <definedName name="PTree_SensitivityAnalysis_UpdateDisplay" hidden="1">FALSE</definedName>
    <definedName name="treeList" hidden="1">"10000000000000000000000000000000000000000000000000000000000000000000000000000000000000000000000000000000000000000000000000000000000000000000000000000000000000000000000000000000000000000000000000000000"</definedName>
  </definedNames>
  <calcPr calcId="152511" concurrentCalc="0"/>
  <extLst>
    <ext xmlns:mx="http://schemas.microsoft.com/office/mac/excel/2008/main" uri="{7523E5D3-25F3-A5E0-1632-64F254C22452}">
      <mx:ArchID Flags="2"/>
    </ext>
  </extLst>
</workbook>
</file>

<file path=xl/calcChain.xml><?xml version="1.0" encoding="utf-8"?>
<calcChain xmlns="http://schemas.openxmlformats.org/spreadsheetml/2006/main">
  <c r="C23" i="4" l="1"/>
  <c r="C20" i="4"/>
  <c r="J11" i="5"/>
  <c r="B9" i="2"/>
  <c r="J12" i="5"/>
  <c r="J13" i="5"/>
  <c r="J14" i="5"/>
  <c r="K11" i="5"/>
  <c r="C4" i="2"/>
  <c r="K14" i="5"/>
  <c r="C12" i="2"/>
  <c r="K15" i="5"/>
  <c r="D2" i="2"/>
  <c r="K16" i="5"/>
  <c r="D6" i="2"/>
  <c r="K17" i="5"/>
  <c r="D10" i="2"/>
  <c r="K18" i="5"/>
  <c r="D14" i="2"/>
  <c r="K19" i="5"/>
  <c r="C18" i="2"/>
  <c r="K28" i="5"/>
  <c r="C22" i="2"/>
  <c r="K29" i="5"/>
  <c r="J15" i="5"/>
  <c r="O92" i="1"/>
  <c r="D102" i="1"/>
  <c r="E98" i="1"/>
  <c r="E102" i="1"/>
  <c r="D99" i="1"/>
  <c r="E99" i="1"/>
  <c r="D101" i="1"/>
  <c r="E101" i="1"/>
  <c r="D100" i="1"/>
  <c r="E100" i="1"/>
  <c r="E103" i="1"/>
  <c r="E104" i="1"/>
  <c r="E105" i="1"/>
  <c r="O94" i="1"/>
  <c r="E106" i="1"/>
  <c r="E107" i="1"/>
  <c r="O93" i="1"/>
  <c r="E108" i="1"/>
  <c r="F98" i="1"/>
  <c r="F102" i="1"/>
  <c r="F99" i="1"/>
  <c r="F101" i="1"/>
  <c r="F100" i="1"/>
  <c r="F103" i="1"/>
  <c r="F104" i="1"/>
  <c r="F105" i="1"/>
  <c r="F106" i="1"/>
  <c r="F107" i="1"/>
  <c r="F108" i="1"/>
  <c r="G98" i="1"/>
  <c r="G102" i="1"/>
  <c r="G99" i="1"/>
  <c r="G101" i="1"/>
  <c r="G100" i="1"/>
  <c r="G103" i="1"/>
  <c r="G104" i="1"/>
  <c r="G105" i="1"/>
  <c r="G106" i="1"/>
  <c r="G107" i="1"/>
  <c r="G108" i="1"/>
  <c r="H98" i="1"/>
  <c r="H102" i="1"/>
  <c r="H99" i="1"/>
  <c r="H101" i="1"/>
  <c r="H100" i="1"/>
  <c r="H103" i="1"/>
  <c r="H104" i="1"/>
  <c r="H105" i="1"/>
  <c r="H106" i="1"/>
  <c r="H107" i="1"/>
  <c r="H108" i="1"/>
  <c r="I98" i="1"/>
  <c r="I102" i="1"/>
  <c r="I99" i="1"/>
  <c r="I101" i="1"/>
  <c r="I100" i="1"/>
  <c r="I103" i="1"/>
  <c r="I104" i="1"/>
  <c r="I105" i="1"/>
  <c r="I106" i="1"/>
  <c r="I107" i="1"/>
  <c r="I108" i="1"/>
  <c r="J98" i="1"/>
  <c r="J102" i="1"/>
  <c r="J99" i="1"/>
  <c r="J101" i="1"/>
  <c r="J100" i="1"/>
  <c r="J103" i="1"/>
  <c r="J104" i="1"/>
  <c r="J105" i="1"/>
  <c r="J106" i="1"/>
  <c r="J107" i="1"/>
  <c r="J108" i="1"/>
  <c r="K98" i="1"/>
  <c r="K102" i="1"/>
  <c r="K99" i="1"/>
  <c r="K101" i="1"/>
  <c r="K100" i="1"/>
  <c r="K103" i="1"/>
  <c r="K104" i="1"/>
  <c r="K105" i="1"/>
  <c r="K106" i="1"/>
  <c r="K107" i="1"/>
  <c r="K108" i="1"/>
  <c r="L98" i="1"/>
  <c r="L102" i="1"/>
  <c r="L99" i="1"/>
  <c r="L101" i="1"/>
  <c r="L100" i="1"/>
  <c r="L103" i="1"/>
  <c r="L104" i="1"/>
  <c r="L105" i="1"/>
  <c r="L106" i="1"/>
  <c r="L107" i="1"/>
  <c r="L108" i="1"/>
  <c r="M98" i="1"/>
  <c r="M102" i="1"/>
  <c r="M99" i="1"/>
  <c r="M101" i="1"/>
  <c r="M100" i="1"/>
  <c r="M103" i="1"/>
  <c r="M104" i="1"/>
  <c r="M105" i="1"/>
  <c r="M106" i="1"/>
  <c r="M107" i="1"/>
  <c r="M108" i="1"/>
  <c r="N98" i="1"/>
  <c r="N102" i="1"/>
  <c r="N99" i="1"/>
  <c r="N101" i="1"/>
  <c r="N100" i="1"/>
  <c r="N103" i="1"/>
  <c r="N104" i="1"/>
  <c r="N105" i="1"/>
  <c r="N106" i="1"/>
  <c r="N107" i="1"/>
  <c r="N108" i="1"/>
  <c r="O96" i="1"/>
  <c r="O108" i="1"/>
  <c r="D110" i="1"/>
  <c r="F13" i="1"/>
  <c r="D3" i="2"/>
  <c r="J16" i="5"/>
  <c r="O63" i="1"/>
  <c r="D73" i="1"/>
  <c r="E69" i="1"/>
  <c r="E73" i="1"/>
  <c r="D70" i="1"/>
  <c r="E70" i="1"/>
  <c r="D72" i="1"/>
  <c r="E72" i="1"/>
  <c r="D71" i="1"/>
  <c r="E71" i="1"/>
  <c r="E74" i="1"/>
  <c r="E75" i="1"/>
  <c r="E76" i="1"/>
  <c r="O65" i="1"/>
  <c r="E77" i="1"/>
  <c r="E78" i="1"/>
  <c r="O64" i="1"/>
  <c r="E79" i="1"/>
  <c r="F69" i="1"/>
  <c r="F73" i="1"/>
  <c r="F70" i="1"/>
  <c r="F72" i="1"/>
  <c r="F71" i="1"/>
  <c r="F74" i="1"/>
  <c r="F75" i="1"/>
  <c r="F76" i="1"/>
  <c r="F77" i="1"/>
  <c r="F78" i="1"/>
  <c r="F79" i="1"/>
  <c r="G69" i="1"/>
  <c r="G73" i="1"/>
  <c r="G70" i="1"/>
  <c r="G72" i="1"/>
  <c r="G71" i="1"/>
  <c r="G74" i="1"/>
  <c r="G75" i="1"/>
  <c r="G76" i="1"/>
  <c r="G77" i="1"/>
  <c r="G78" i="1"/>
  <c r="G79" i="1"/>
  <c r="H69" i="1"/>
  <c r="H73" i="1"/>
  <c r="H70" i="1"/>
  <c r="H72" i="1"/>
  <c r="H71" i="1"/>
  <c r="H74" i="1"/>
  <c r="H75" i="1"/>
  <c r="H76" i="1"/>
  <c r="H77" i="1"/>
  <c r="H78" i="1"/>
  <c r="H79" i="1"/>
  <c r="I69" i="1"/>
  <c r="I73" i="1"/>
  <c r="I70" i="1"/>
  <c r="I72" i="1"/>
  <c r="I71" i="1"/>
  <c r="I74" i="1"/>
  <c r="I75" i="1"/>
  <c r="I76" i="1"/>
  <c r="I77" i="1"/>
  <c r="I78" i="1"/>
  <c r="I79" i="1"/>
  <c r="J69" i="1"/>
  <c r="J73" i="1"/>
  <c r="J70" i="1"/>
  <c r="J72" i="1"/>
  <c r="J71" i="1"/>
  <c r="J74" i="1"/>
  <c r="J75" i="1"/>
  <c r="J76" i="1"/>
  <c r="J77" i="1"/>
  <c r="J78" i="1"/>
  <c r="J79" i="1"/>
  <c r="K69" i="1"/>
  <c r="K73" i="1"/>
  <c r="K70" i="1"/>
  <c r="K72" i="1"/>
  <c r="K71" i="1"/>
  <c r="K74" i="1"/>
  <c r="K75" i="1"/>
  <c r="K76" i="1"/>
  <c r="K77" i="1"/>
  <c r="K78" i="1"/>
  <c r="K79" i="1"/>
  <c r="L69" i="1"/>
  <c r="L73" i="1"/>
  <c r="L70" i="1"/>
  <c r="L72" i="1"/>
  <c r="L71" i="1"/>
  <c r="L74" i="1"/>
  <c r="L75" i="1"/>
  <c r="L76" i="1"/>
  <c r="L77" i="1"/>
  <c r="L78" i="1"/>
  <c r="L79" i="1"/>
  <c r="M69" i="1"/>
  <c r="M73" i="1"/>
  <c r="M70" i="1"/>
  <c r="M72" i="1"/>
  <c r="M71" i="1"/>
  <c r="M74" i="1"/>
  <c r="M75" i="1"/>
  <c r="M76" i="1"/>
  <c r="M77" i="1"/>
  <c r="M78" i="1"/>
  <c r="M79" i="1"/>
  <c r="N69" i="1"/>
  <c r="N73" i="1"/>
  <c r="N70" i="1"/>
  <c r="N72" i="1"/>
  <c r="N71" i="1"/>
  <c r="N74" i="1"/>
  <c r="N75" i="1"/>
  <c r="N76" i="1"/>
  <c r="N77" i="1"/>
  <c r="N78" i="1"/>
  <c r="N79" i="1"/>
  <c r="O67" i="1"/>
  <c r="O79" i="1"/>
  <c r="D81" i="1"/>
  <c r="F12" i="1"/>
  <c r="D7" i="2"/>
  <c r="J17" i="5"/>
  <c r="O122" i="1"/>
  <c r="D132" i="1"/>
  <c r="E128" i="1"/>
  <c r="E132" i="1"/>
  <c r="D129" i="1"/>
  <c r="E129" i="1"/>
  <c r="D131" i="1"/>
  <c r="E131" i="1"/>
  <c r="D130" i="1"/>
  <c r="E130" i="1"/>
  <c r="E133" i="1"/>
  <c r="E134" i="1"/>
  <c r="E135" i="1"/>
  <c r="O124" i="1"/>
  <c r="E136" i="1"/>
  <c r="E137" i="1"/>
  <c r="O123" i="1"/>
  <c r="E138" i="1"/>
  <c r="F128" i="1"/>
  <c r="F132" i="1"/>
  <c r="F129" i="1"/>
  <c r="F131" i="1"/>
  <c r="F130" i="1"/>
  <c r="F133" i="1"/>
  <c r="F134" i="1"/>
  <c r="F135" i="1"/>
  <c r="F136" i="1"/>
  <c r="F137" i="1"/>
  <c r="F138" i="1"/>
  <c r="G128" i="1"/>
  <c r="G132" i="1"/>
  <c r="G129" i="1"/>
  <c r="G131" i="1"/>
  <c r="G130" i="1"/>
  <c r="G133" i="1"/>
  <c r="G134" i="1"/>
  <c r="G135" i="1"/>
  <c r="G136" i="1"/>
  <c r="G137" i="1"/>
  <c r="G138" i="1"/>
  <c r="H128" i="1"/>
  <c r="H132" i="1"/>
  <c r="H129" i="1"/>
  <c r="H131" i="1"/>
  <c r="H130" i="1"/>
  <c r="H133" i="1"/>
  <c r="H134" i="1"/>
  <c r="H135" i="1"/>
  <c r="H136" i="1"/>
  <c r="H137" i="1"/>
  <c r="H138" i="1"/>
  <c r="I128" i="1"/>
  <c r="I132" i="1"/>
  <c r="I129" i="1"/>
  <c r="I131" i="1"/>
  <c r="I130" i="1"/>
  <c r="I133" i="1"/>
  <c r="I134" i="1"/>
  <c r="I135" i="1"/>
  <c r="I136" i="1"/>
  <c r="I137" i="1"/>
  <c r="I138" i="1"/>
  <c r="J128" i="1"/>
  <c r="J132" i="1"/>
  <c r="J129" i="1"/>
  <c r="J131" i="1"/>
  <c r="J130" i="1"/>
  <c r="J133" i="1"/>
  <c r="J134" i="1"/>
  <c r="J135" i="1"/>
  <c r="J136" i="1"/>
  <c r="J137" i="1"/>
  <c r="J138" i="1"/>
  <c r="K128" i="1"/>
  <c r="K132" i="1"/>
  <c r="K129" i="1"/>
  <c r="K131" i="1"/>
  <c r="K130" i="1"/>
  <c r="K133" i="1"/>
  <c r="K134" i="1"/>
  <c r="K135" i="1"/>
  <c r="K136" i="1"/>
  <c r="K137" i="1"/>
  <c r="K138" i="1"/>
  <c r="L128" i="1"/>
  <c r="L132" i="1"/>
  <c r="L129" i="1"/>
  <c r="L131" i="1"/>
  <c r="L130" i="1"/>
  <c r="L133" i="1"/>
  <c r="L134" i="1"/>
  <c r="L135" i="1"/>
  <c r="L136" i="1"/>
  <c r="L137" i="1"/>
  <c r="L138" i="1"/>
  <c r="M128" i="1"/>
  <c r="M132" i="1"/>
  <c r="M129" i="1"/>
  <c r="M131" i="1"/>
  <c r="M130" i="1"/>
  <c r="M133" i="1"/>
  <c r="M134" i="1"/>
  <c r="M135" i="1"/>
  <c r="M136" i="1"/>
  <c r="M137" i="1"/>
  <c r="M138" i="1"/>
  <c r="N128" i="1"/>
  <c r="N132" i="1"/>
  <c r="N129" i="1"/>
  <c r="N131" i="1"/>
  <c r="N130" i="1"/>
  <c r="N133" i="1"/>
  <c r="N134" i="1"/>
  <c r="N135" i="1"/>
  <c r="N136" i="1"/>
  <c r="N137" i="1"/>
  <c r="N138" i="1"/>
  <c r="O126" i="1"/>
  <c r="O138" i="1"/>
  <c r="D140" i="1"/>
  <c r="F14" i="1"/>
  <c r="D11" i="2"/>
  <c r="J18" i="5"/>
  <c r="O34" i="1"/>
  <c r="D44" i="1"/>
  <c r="E40" i="1"/>
  <c r="E44" i="1"/>
  <c r="D41" i="1"/>
  <c r="E41" i="1"/>
  <c r="D43" i="1"/>
  <c r="E43" i="1"/>
  <c r="D42" i="1"/>
  <c r="E42" i="1"/>
  <c r="E45" i="1"/>
  <c r="E46" i="1"/>
  <c r="E47" i="1"/>
  <c r="O36" i="1"/>
  <c r="E48" i="1"/>
  <c r="E49" i="1"/>
  <c r="O35" i="1"/>
  <c r="E50" i="1"/>
  <c r="F40" i="1"/>
  <c r="F44" i="1"/>
  <c r="F41" i="1"/>
  <c r="F43" i="1"/>
  <c r="F42" i="1"/>
  <c r="F45" i="1"/>
  <c r="F46" i="1"/>
  <c r="F47" i="1"/>
  <c r="F48" i="1"/>
  <c r="F49" i="1"/>
  <c r="F50" i="1"/>
  <c r="G40" i="1"/>
  <c r="G44" i="1"/>
  <c r="G41" i="1"/>
  <c r="G43" i="1"/>
  <c r="G42" i="1"/>
  <c r="G45" i="1"/>
  <c r="G46" i="1"/>
  <c r="G47" i="1"/>
  <c r="G48" i="1"/>
  <c r="G49" i="1"/>
  <c r="G50" i="1"/>
  <c r="H40" i="1"/>
  <c r="H44" i="1"/>
  <c r="H41" i="1"/>
  <c r="H43" i="1"/>
  <c r="H42" i="1"/>
  <c r="H45" i="1"/>
  <c r="H46" i="1"/>
  <c r="H47" i="1"/>
  <c r="H48" i="1"/>
  <c r="H49" i="1"/>
  <c r="H50" i="1"/>
  <c r="I40" i="1"/>
  <c r="I44" i="1"/>
  <c r="I41" i="1"/>
  <c r="I43" i="1"/>
  <c r="I42" i="1"/>
  <c r="I45" i="1"/>
  <c r="I46" i="1"/>
  <c r="I47" i="1"/>
  <c r="I48" i="1"/>
  <c r="I49" i="1"/>
  <c r="I50" i="1"/>
  <c r="J40" i="1"/>
  <c r="J44" i="1"/>
  <c r="J41" i="1"/>
  <c r="J43" i="1"/>
  <c r="J42" i="1"/>
  <c r="J45" i="1"/>
  <c r="J46" i="1"/>
  <c r="J47" i="1"/>
  <c r="J48" i="1"/>
  <c r="J49" i="1"/>
  <c r="J50" i="1"/>
  <c r="K40" i="1"/>
  <c r="K44" i="1"/>
  <c r="K41" i="1"/>
  <c r="K43" i="1"/>
  <c r="K42" i="1"/>
  <c r="K45" i="1"/>
  <c r="K46" i="1"/>
  <c r="K47" i="1"/>
  <c r="K48" i="1"/>
  <c r="K49" i="1"/>
  <c r="K50" i="1"/>
  <c r="L40" i="1"/>
  <c r="L44" i="1"/>
  <c r="L41" i="1"/>
  <c r="L43" i="1"/>
  <c r="L42" i="1"/>
  <c r="L45" i="1"/>
  <c r="L46" i="1"/>
  <c r="L47" i="1"/>
  <c r="L48" i="1"/>
  <c r="L49" i="1"/>
  <c r="L50" i="1"/>
  <c r="M40" i="1"/>
  <c r="M44" i="1"/>
  <c r="M41" i="1"/>
  <c r="M43" i="1"/>
  <c r="M42" i="1"/>
  <c r="M45" i="1"/>
  <c r="M46" i="1"/>
  <c r="M47" i="1"/>
  <c r="M48" i="1"/>
  <c r="M49" i="1"/>
  <c r="M50" i="1"/>
  <c r="N40" i="1"/>
  <c r="N44" i="1"/>
  <c r="N41" i="1"/>
  <c r="N43" i="1"/>
  <c r="N42" i="1"/>
  <c r="N45" i="1"/>
  <c r="N46" i="1"/>
  <c r="N47" i="1"/>
  <c r="N48" i="1"/>
  <c r="N49" i="1"/>
  <c r="N50" i="1"/>
  <c r="O38" i="1"/>
  <c r="O50" i="1"/>
  <c r="D52" i="1"/>
  <c r="F11" i="1"/>
  <c r="D15" i="2"/>
  <c r="J19" i="5"/>
  <c r="E160" i="1"/>
  <c r="E162" i="1"/>
  <c r="E164" i="1"/>
  <c r="O153" i="1"/>
  <c r="E165" i="1"/>
  <c r="E166" i="1"/>
  <c r="O152" i="1"/>
  <c r="E157" i="1"/>
  <c r="E167" i="1"/>
  <c r="F160" i="1"/>
  <c r="F162" i="1"/>
  <c r="F164" i="1"/>
  <c r="F165" i="1"/>
  <c r="F166" i="1"/>
  <c r="F157" i="1"/>
  <c r="F167" i="1"/>
  <c r="G160" i="1"/>
  <c r="G162" i="1"/>
  <c r="G164" i="1"/>
  <c r="G165" i="1"/>
  <c r="G166" i="1"/>
  <c r="G157" i="1"/>
  <c r="G167" i="1"/>
  <c r="H160" i="1"/>
  <c r="H162" i="1"/>
  <c r="H164" i="1"/>
  <c r="H165" i="1"/>
  <c r="H166" i="1"/>
  <c r="H157" i="1"/>
  <c r="H167" i="1"/>
  <c r="I160" i="1"/>
  <c r="I162" i="1"/>
  <c r="I164" i="1"/>
  <c r="I165" i="1"/>
  <c r="I166" i="1"/>
  <c r="I157" i="1"/>
  <c r="I167" i="1"/>
  <c r="J160" i="1"/>
  <c r="J162" i="1"/>
  <c r="J164" i="1"/>
  <c r="J165" i="1"/>
  <c r="J166" i="1"/>
  <c r="J157" i="1"/>
  <c r="J167" i="1"/>
  <c r="K160" i="1"/>
  <c r="K162" i="1"/>
  <c r="K164" i="1"/>
  <c r="K165" i="1"/>
  <c r="K166" i="1"/>
  <c r="K157" i="1"/>
  <c r="K167" i="1"/>
  <c r="L160" i="1"/>
  <c r="L162" i="1"/>
  <c r="L164" i="1"/>
  <c r="L165" i="1"/>
  <c r="L166" i="1"/>
  <c r="L157" i="1"/>
  <c r="L167" i="1"/>
  <c r="M160" i="1"/>
  <c r="M162" i="1"/>
  <c r="M164" i="1"/>
  <c r="M165" i="1"/>
  <c r="M166" i="1"/>
  <c r="M157" i="1"/>
  <c r="M167" i="1"/>
  <c r="N160" i="1"/>
  <c r="N162" i="1"/>
  <c r="N164" i="1"/>
  <c r="N165" i="1"/>
  <c r="N166" i="1"/>
  <c r="N157" i="1"/>
  <c r="N167" i="1"/>
  <c r="O155" i="1"/>
  <c r="O167" i="1"/>
  <c r="D169" i="1"/>
  <c r="F15" i="1"/>
  <c r="C19" i="2"/>
  <c r="J28" i="5"/>
  <c r="E189" i="1"/>
  <c r="E191" i="1"/>
  <c r="E193" i="1"/>
  <c r="O182" i="1"/>
  <c r="E194" i="1"/>
  <c r="E195" i="1"/>
  <c r="E186" i="1"/>
  <c r="E196" i="1"/>
  <c r="F189" i="1"/>
  <c r="F191" i="1"/>
  <c r="F193" i="1"/>
  <c r="F194" i="1"/>
  <c r="F195" i="1"/>
  <c r="F186" i="1"/>
  <c r="F196" i="1"/>
  <c r="G189" i="1"/>
  <c r="G191" i="1"/>
  <c r="G193" i="1"/>
  <c r="G194" i="1"/>
  <c r="G195" i="1"/>
  <c r="G186" i="1"/>
  <c r="G196" i="1"/>
  <c r="H189" i="1"/>
  <c r="H191" i="1"/>
  <c r="H193" i="1"/>
  <c r="H194" i="1"/>
  <c r="H195" i="1"/>
  <c r="H186" i="1"/>
  <c r="H196" i="1"/>
  <c r="I189" i="1"/>
  <c r="I191" i="1"/>
  <c r="I193" i="1"/>
  <c r="I194" i="1"/>
  <c r="I195" i="1"/>
  <c r="I186" i="1"/>
  <c r="I196" i="1"/>
  <c r="J189" i="1"/>
  <c r="J191" i="1"/>
  <c r="J193" i="1"/>
  <c r="J194" i="1"/>
  <c r="J195" i="1"/>
  <c r="J186" i="1"/>
  <c r="J196" i="1"/>
  <c r="K189" i="1"/>
  <c r="K191" i="1"/>
  <c r="K193" i="1"/>
  <c r="K194" i="1"/>
  <c r="K195" i="1"/>
  <c r="K186" i="1"/>
  <c r="K196" i="1"/>
  <c r="L189" i="1"/>
  <c r="L191" i="1"/>
  <c r="L193" i="1"/>
  <c r="L194" i="1"/>
  <c r="L195" i="1"/>
  <c r="L186" i="1"/>
  <c r="L196" i="1"/>
  <c r="M189" i="1"/>
  <c r="M191" i="1"/>
  <c r="M193" i="1"/>
  <c r="M194" i="1"/>
  <c r="M195" i="1"/>
  <c r="M186" i="1"/>
  <c r="M196" i="1"/>
  <c r="N189" i="1"/>
  <c r="N191" i="1"/>
  <c r="N193" i="1"/>
  <c r="N194" i="1"/>
  <c r="N195" i="1"/>
  <c r="N186" i="1"/>
  <c r="N196" i="1"/>
  <c r="O184" i="1"/>
  <c r="O196" i="1"/>
  <c r="D198" i="1"/>
  <c r="D199" i="1"/>
  <c r="D200" i="1"/>
  <c r="F16" i="1"/>
  <c r="C23" i="2"/>
  <c r="J29" i="5"/>
  <c r="F2" i="5"/>
  <c r="O180" i="1"/>
  <c r="O151" i="1"/>
  <c r="C14" i="4"/>
  <c r="D14" i="4"/>
  <c r="E14" i="4"/>
  <c r="I14" i="4"/>
  <c r="E15" i="2"/>
  <c r="E14" i="2"/>
  <c r="E11" i="2"/>
  <c r="E10" i="2"/>
  <c r="D13" i="2"/>
  <c r="O15" i="5"/>
  <c r="A19" i="5"/>
  <c r="A18" i="5"/>
  <c r="A15" i="5"/>
  <c r="E7" i="2"/>
  <c r="E6" i="2"/>
  <c r="E3" i="2"/>
  <c r="E2" i="2"/>
  <c r="D5" i="2"/>
  <c r="O14" i="5"/>
  <c r="A17" i="5"/>
  <c r="A16" i="5"/>
  <c r="A14" i="5"/>
  <c r="O13" i="5"/>
  <c r="O12" i="5"/>
  <c r="O11" i="5"/>
  <c r="B11" i="5"/>
  <c r="B2" i="5"/>
  <c r="D160" i="1"/>
  <c r="D189" i="1"/>
  <c r="B16" i="1"/>
  <c r="B15" i="1"/>
  <c r="D191" i="1"/>
  <c r="D193" i="1"/>
  <c r="D194" i="1"/>
  <c r="D195" i="1"/>
  <c r="D196" i="1"/>
  <c r="D190" i="1"/>
  <c r="E190" i="1"/>
  <c r="F190" i="1"/>
  <c r="G190" i="1"/>
  <c r="H190" i="1"/>
  <c r="I190" i="1"/>
  <c r="J190" i="1"/>
  <c r="K190" i="1"/>
  <c r="L190" i="1"/>
  <c r="M190" i="1"/>
  <c r="N190" i="1"/>
  <c r="D188" i="1"/>
  <c r="E188" i="1"/>
  <c r="F188" i="1"/>
  <c r="G188" i="1"/>
  <c r="H188" i="1"/>
  <c r="I188" i="1"/>
  <c r="J188" i="1"/>
  <c r="K188" i="1"/>
  <c r="L188" i="1"/>
  <c r="M188" i="1"/>
  <c r="N188" i="1"/>
  <c r="D187" i="1"/>
  <c r="E187" i="1"/>
  <c r="F187" i="1"/>
  <c r="G187" i="1"/>
  <c r="H187" i="1"/>
  <c r="I187" i="1"/>
  <c r="J187" i="1"/>
  <c r="K187" i="1"/>
  <c r="L187" i="1"/>
  <c r="M187" i="1"/>
  <c r="N187" i="1"/>
  <c r="O16" i="1"/>
  <c r="D162" i="1"/>
  <c r="D161" i="1"/>
  <c r="E161" i="1"/>
  <c r="D158" i="1"/>
  <c r="E158" i="1"/>
  <c r="D159" i="1"/>
  <c r="E159" i="1"/>
  <c r="F161" i="1"/>
  <c r="F158" i="1"/>
  <c r="F159" i="1"/>
  <c r="G161" i="1"/>
  <c r="G158" i="1"/>
  <c r="G159" i="1"/>
  <c r="H161" i="1"/>
  <c r="H158" i="1"/>
  <c r="H159" i="1"/>
  <c r="I161" i="1"/>
  <c r="I158" i="1"/>
  <c r="I159" i="1"/>
  <c r="J161" i="1"/>
  <c r="J158" i="1"/>
  <c r="J159" i="1"/>
  <c r="K161" i="1"/>
  <c r="K158" i="1"/>
  <c r="K159" i="1"/>
  <c r="L161" i="1"/>
  <c r="L158" i="1"/>
  <c r="L159" i="1"/>
  <c r="M161" i="1"/>
  <c r="M158" i="1"/>
  <c r="M159" i="1"/>
  <c r="N161" i="1"/>
  <c r="N158" i="1"/>
  <c r="N159" i="1"/>
  <c r="D170" i="1"/>
  <c r="D171" i="1"/>
  <c r="D164" i="1"/>
  <c r="D165" i="1"/>
  <c r="D166" i="1"/>
  <c r="D167" i="1"/>
  <c r="K16" i="1"/>
  <c r="D141" i="1"/>
  <c r="D142" i="1"/>
  <c r="D111" i="1"/>
  <c r="D112" i="1"/>
  <c r="D82" i="1"/>
  <c r="D83" i="1"/>
  <c r="D133" i="1"/>
  <c r="D134" i="1"/>
  <c r="D135" i="1"/>
  <c r="D136" i="1"/>
  <c r="D137" i="1"/>
  <c r="D138" i="1"/>
  <c r="D103" i="1"/>
  <c r="D104" i="1"/>
  <c r="D105" i="1"/>
  <c r="D106" i="1"/>
  <c r="D107" i="1"/>
  <c r="D108" i="1"/>
  <c r="D45" i="1"/>
  <c r="D46" i="1"/>
  <c r="D47" i="1"/>
  <c r="D48" i="1"/>
  <c r="D74" i="1"/>
  <c r="D75" i="1"/>
  <c r="D76" i="1"/>
  <c r="D77" i="1"/>
  <c r="D78" i="1"/>
  <c r="D79" i="1"/>
  <c r="B4" i="4"/>
  <c r="C4" i="4"/>
  <c r="B17" i="4"/>
  <c r="D4" i="4"/>
  <c r="C17" i="4"/>
  <c r="E4" i="4"/>
  <c r="D17" i="4"/>
  <c r="H17" i="4"/>
  <c r="F4" i="4"/>
  <c r="E17" i="4"/>
  <c r="G17" i="4"/>
  <c r="B12" i="4"/>
  <c r="C12" i="4"/>
  <c r="B16" i="4"/>
  <c r="D12" i="4"/>
  <c r="C16" i="4"/>
  <c r="E12" i="4"/>
  <c r="D16" i="4"/>
  <c r="H16" i="4"/>
  <c r="F12" i="4"/>
  <c r="E16" i="4"/>
  <c r="G16" i="4"/>
  <c r="B15" i="4"/>
  <c r="C15" i="4"/>
  <c r="D15" i="4"/>
  <c r="H15" i="4"/>
  <c r="B14" i="4"/>
  <c r="H14" i="4"/>
  <c r="E15" i="4"/>
  <c r="G15" i="4"/>
  <c r="G14" i="4"/>
  <c r="G4" i="4"/>
  <c r="B5" i="4"/>
  <c r="B6" i="4"/>
  <c r="C5" i="4"/>
  <c r="C6" i="4"/>
  <c r="D5" i="4"/>
  <c r="D6" i="4"/>
  <c r="E6" i="4"/>
  <c r="F6" i="4"/>
  <c r="G6" i="4"/>
  <c r="B10" i="4"/>
  <c r="C10" i="4"/>
  <c r="D10" i="4"/>
  <c r="E10" i="4"/>
  <c r="F10" i="4"/>
  <c r="G10" i="4"/>
  <c r="F7" i="4"/>
  <c r="E7" i="4"/>
  <c r="C1" i="4"/>
  <c r="D1" i="4"/>
  <c r="E1" i="4"/>
  <c r="F1" i="4"/>
  <c r="D49" i="1"/>
  <c r="D50" i="1"/>
  <c r="K15" i="1"/>
  <c r="O15" i="1"/>
  <c r="B14" i="1"/>
  <c r="B13" i="1"/>
  <c r="B12" i="1"/>
  <c r="B11" i="1"/>
  <c r="D53" i="1"/>
  <c r="D54" i="1"/>
  <c r="L17" i="1"/>
  <c r="C9" i="2"/>
  <c r="A12" i="5"/>
  <c r="B17" i="2"/>
  <c r="A11" i="5"/>
  <c r="B8" i="2"/>
  <c r="C21" i="2"/>
  <c r="A13" i="5"/>
  <c r="D19" i="2"/>
  <c r="A28" i="5"/>
  <c r="D23" i="2"/>
  <c r="A29" i="5"/>
  <c r="B20" i="2"/>
  <c r="D18" i="2"/>
  <c r="D22" i="2"/>
</calcChain>
</file>

<file path=xl/comments1.xml><?xml version="1.0" encoding="utf-8"?>
<comments xmlns="http://schemas.openxmlformats.org/spreadsheetml/2006/main">
  <authors>
    <author>Posen</author>
  </authors>
  <commentList>
    <comment ref="I10" authorId="0" shapeId="0">
      <text>
        <r>
          <rPr>
            <b/>
            <sz val="10"/>
            <color indexed="81"/>
            <rFont val="Calibri"/>
          </rPr>
          <t>Posen:</t>
        </r>
        <r>
          <rPr>
            <sz val="10"/>
            <color indexed="81"/>
            <rFont val="Calibri"/>
          </rPr>
          <t xml:space="preserve">
Genzyme incurrs investment cost</t>
        </r>
      </text>
    </comment>
    <comment ref="N10" authorId="0" shapeId="0">
      <text>
        <r>
          <rPr>
            <b/>
            <sz val="10"/>
            <color indexed="81"/>
            <rFont val="Calibri"/>
          </rPr>
          <t>Posen:</t>
        </r>
        <r>
          <rPr>
            <sz val="10"/>
            <color indexed="81"/>
            <rFont val="Calibri"/>
          </rPr>
          <t xml:space="preserve">
Genzyme does not incurr investment cost</t>
        </r>
      </text>
    </comment>
    <comment ref="K11" authorId="0" shapeId="0">
      <text>
        <r>
          <rPr>
            <b/>
            <sz val="10"/>
            <color indexed="81"/>
            <rFont val="Calibri"/>
          </rPr>
          <t>Posen:</t>
        </r>
        <r>
          <rPr>
            <sz val="10"/>
            <color indexed="81"/>
            <rFont val="Calibri"/>
          </rPr>
          <t xml:space="preserve">
Probability of best case.</t>
        </r>
      </text>
    </comment>
    <comment ref="O11" authorId="0" shapeId="0">
      <text>
        <r>
          <rPr>
            <b/>
            <sz val="10"/>
            <color indexed="81"/>
            <rFont val="Calibri"/>
          </rPr>
          <t>Posen:</t>
        </r>
        <r>
          <rPr>
            <sz val="10"/>
            <color indexed="81"/>
            <rFont val="Calibri"/>
          </rPr>
          <t xml:space="preserve">
The status quo situation when Genzyme does not invest is the "Base case" return excluding the $75M investment.</t>
        </r>
      </text>
    </comment>
    <comment ref="K12" authorId="0" shapeId="0">
      <text>
        <r>
          <rPr>
            <b/>
            <sz val="10"/>
            <color indexed="81"/>
            <rFont val="Calibri"/>
          </rPr>
          <t>Posen:</t>
        </r>
        <r>
          <rPr>
            <sz val="10"/>
            <color indexed="81"/>
            <rFont val="Calibri"/>
          </rPr>
          <t xml:space="preserve">
Probability of middle case</t>
        </r>
      </text>
    </comment>
    <comment ref="O12" authorId="0" shapeId="0">
      <text>
        <r>
          <rPr>
            <b/>
            <sz val="10"/>
            <color indexed="81"/>
            <rFont val="Calibri"/>
          </rPr>
          <t>Posen:</t>
        </r>
        <r>
          <rPr>
            <sz val="10"/>
            <color indexed="81"/>
            <rFont val="Calibri"/>
          </rPr>
          <t xml:space="preserve">
The worst case situation when Genzyme does not invest is the "Worst case" return excluding the $75M investment.</t>
        </r>
      </text>
    </comment>
    <comment ref="K13" authorId="0" shapeId="0">
      <text>
        <r>
          <rPr>
            <b/>
            <sz val="10"/>
            <color indexed="81"/>
            <rFont val="Calibri"/>
          </rPr>
          <t>Posen:</t>
        </r>
        <r>
          <rPr>
            <sz val="10"/>
            <color indexed="81"/>
            <rFont val="Calibri"/>
          </rPr>
          <t xml:space="preserve">
Probability of worst case</t>
        </r>
      </text>
    </comment>
    <comment ref="K14" authorId="0" shapeId="0">
      <text>
        <r>
          <rPr>
            <b/>
            <sz val="10"/>
            <color indexed="81"/>
            <rFont val="Calibri"/>
          </rPr>
          <t>Posen:</t>
        </r>
        <r>
          <rPr>
            <sz val="10"/>
            <color indexed="81"/>
            <rFont val="Calibri"/>
          </rPr>
          <t xml:space="preserve">
Probability of base case</t>
        </r>
      </text>
    </comment>
    <comment ref="K16" authorId="0" shapeId="0">
      <text>
        <r>
          <rPr>
            <b/>
            <sz val="10"/>
            <color indexed="81"/>
            <rFont val="Calibri"/>
          </rPr>
          <t>Posen:</t>
        </r>
        <r>
          <rPr>
            <sz val="10"/>
            <color indexed="81"/>
            <rFont val="Calibri"/>
          </rPr>
          <t xml:space="preserve">
Calculation here includes $75 investment cost.</t>
        </r>
      </text>
    </comment>
    <comment ref="O16" authorId="0" shapeId="0">
      <text>
        <r>
          <rPr>
            <b/>
            <sz val="10"/>
            <color indexed="81"/>
            <rFont val="Calibri"/>
          </rPr>
          <t>Posen:</t>
        </r>
        <r>
          <rPr>
            <sz val="10"/>
            <color indexed="81"/>
            <rFont val="Calibri"/>
          </rPr>
          <t xml:space="preserve">
Calculation here excludes $75 investment cost.</t>
        </r>
      </text>
    </comment>
    <comment ref="L22" authorId="0" shapeId="0">
      <text>
        <r>
          <rPr>
            <b/>
            <sz val="10"/>
            <color indexed="81"/>
            <rFont val="Calibri"/>
          </rPr>
          <t>Posen:</t>
        </r>
        <r>
          <rPr>
            <sz val="10"/>
            <color indexed="81"/>
            <rFont val="Calibri"/>
          </rPr>
          <t xml:space="preserve">
Implies that market entry will be in 2010 (if they get to work on trials now).</t>
        </r>
      </text>
    </comment>
    <comment ref="L23" authorId="0" shapeId="0">
      <text>
        <r>
          <rPr>
            <b/>
            <sz val="10"/>
            <color indexed="81"/>
            <rFont val="Calibri"/>
          </rPr>
          <t>Posen:</t>
        </r>
        <r>
          <rPr>
            <sz val="10"/>
            <color indexed="81"/>
            <rFont val="Calibri"/>
          </rPr>
          <t xml:space="preserve">
Category has been growing at 12%. Will it continue?</t>
        </r>
      </text>
    </comment>
    <comment ref="F31" authorId="0" shapeId="0">
      <text>
        <r>
          <rPr>
            <b/>
            <sz val="10"/>
            <color indexed="81"/>
            <rFont val="Calibri"/>
          </rPr>
          <t>Posen:</t>
        </r>
        <r>
          <rPr>
            <sz val="10"/>
            <color indexed="81"/>
            <rFont val="Calibri"/>
          </rPr>
          <t xml:space="preserve">
If Genzyme introduces a single shot product, how much additional mkt shr will they capture immediately? 
0% implies no one-shot investment or no new market share.</t>
        </r>
      </text>
    </comment>
    <comment ref="O32" authorId="0" shapeId="0">
      <text>
        <r>
          <rPr>
            <b/>
            <sz val="10"/>
            <color indexed="81"/>
            <rFont val="Calibri"/>
          </rPr>
          <t>Posen:</t>
        </r>
        <r>
          <rPr>
            <sz val="10"/>
            <color indexed="81"/>
            <rFont val="Calibri"/>
          </rPr>
          <t xml:space="preserve">
Implies that a decision today will lead to a product introduction in 2010.</t>
        </r>
      </text>
    </comment>
    <comment ref="F33" authorId="0" shapeId="0">
      <text>
        <r>
          <rPr>
            <b/>
            <sz val="10"/>
            <color indexed="81"/>
            <rFont val="Calibri"/>
          </rPr>
          <t>Posen:</t>
        </r>
        <r>
          <rPr>
            <sz val="10"/>
            <color indexed="81"/>
            <rFont val="Calibri"/>
          </rPr>
          <t xml:space="preserve">
Rate that Genzyme's mkt shr is changing (e.g., loss) if they don't have a single shot product. (3% from case but could change going forward)</t>
        </r>
      </text>
    </comment>
    <comment ref="G33" authorId="0" shapeId="0">
      <text>
        <r>
          <rPr>
            <b/>
            <sz val="10"/>
            <color indexed="81"/>
            <rFont val="Calibri"/>
          </rPr>
          <t>Posen:</t>
        </r>
        <r>
          <rPr>
            <sz val="10"/>
            <color indexed="81"/>
            <rFont val="Calibri"/>
          </rPr>
          <t xml:space="preserve">
If Genzyme is losing shr, this implies rivalry and reduced margins. This parameter adjusts the margin based on the change in mkt share (relative to the drop in market share). For example, if market share drops by 3 percent, a 50% in this cell will imply a 1.5% drop in margins. 
</t>
        </r>
      </text>
    </comment>
    <comment ref="F34" authorId="0" shapeId="0">
      <text>
        <r>
          <rPr>
            <b/>
            <sz val="10"/>
            <color indexed="81"/>
            <rFont val="Calibri"/>
          </rPr>
          <t>Posen:</t>
        </r>
        <r>
          <rPr>
            <sz val="10"/>
            <color indexed="81"/>
            <rFont val="Calibri"/>
          </rPr>
          <t xml:space="preserve">
If Genzyme introduces a one-shot product, how much (if any) will their mkt shr change each yr after introducing the product?</t>
        </r>
      </text>
    </comment>
    <comment ref="G34" authorId="0" shapeId="0">
      <text>
        <r>
          <rPr>
            <b/>
            <sz val="10"/>
            <color indexed="81"/>
            <rFont val="Calibri"/>
          </rPr>
          <t>Posen:</t>
        </r>
        <r>
          <rPr>
            <sz val="10"/>
            <color indexed="81"/>
            <rFont val="Calibri"/>
          </rPr>
          <t xml:space="preserve">
If Genzyme introduces a one-shot product, how much (if any) will their mkt shr change each yr after introducing the product?</t>
        </r>
      </text>
    </comment>
    <comment ref="F35" authorId="0" shapeId="0">
      <text>
        <r>
          <rPr>
            <b/>
            <sz val="10"/>
            <color indexed="81"/>
            <rFont val="Calibri"/>
          </rPr>
          <t>Posen:</t>
        </r>
        <r>
          <rPr>
            <sz val="10"/>
            <color indexed="81"/>
            <rFont val="Calibri"/>
          </rPr>
          <t xml:space="preserve">
If a rival introduces a one-shot product, will Genzyme start to lose market share again (each year)? If so, by how much?
Note that this is irrelevant if rivals don’t introduce a new product (i.e., the line below says 2099)</t>
        </r>
      </text>
    </comment>
    <comment ref="G35" authorId="0" shapeId="0">
      <text>
        <r>
          <rPr>
            <b/>
            <sz val="10"/>
            <color indexed="81"/>
            <rFont val="Calibri"/>
          </rPr>
          <t>Posen:</t>
        </r>
        <r>
          <rPr>
            <sz val="10"/>
            <color indexed="81"/>
            <rFont val="Calibri"/>
          </rPr>
          <t xml:space="preserve">
If a rival introduces a one-shot product, will Genzyme start to lose market share again (each year)? If so, by how much?
Note that this is irrelevant if rivals don’t introduce a new product (i.e., the line below says 2099)</t>
        </r>
      </text>
    </comment>
    <comment ref="F36" authorId="0" shapeId="0">
      <text>
        <r>
          <rPr>
            <b/>
            <sz val="10"/>
            <color indexed="81"/>
            <rFont val="Calibri"/>
          </rPr>
          <t>Posen:</t>
        </r>
        <r>
          <rPr>
            <sz val="10"/>
            <color indexed="81"/>
            <rFont val="Calibri"/>
          </rPr>
          <t xml:space="preserve">
If a rival enters with a single shot product, what year will they enter? (2099 means that rivals do not launch single-shot product).</t>
        </r>
      </text>
    </comment>
    <comment ref="F37" authorId="0" shapeId="0">
      <text>
        <r>
          <rPr>
            <b/>
            <sz val="10"/>
            <color indexed="81"/>
            <rFont val="Calibri"/>
          </rPr>
          <t>Posen:</t>
        </r>
        <r>
          <rPr>
            <sz val="10"/>
            <color indexed="81"/>
            <rFont val="Calibri"/>
          </rPr>
          <t xml:space="preserve">
If a rival enters, how much mkt shr will they take immediately in the year they enter? (doesn't matter unless rival enters before 2017)</t>
        </r>
      </text>
    </comment>
    <comment ref="F60" authorId="0" shapeId="0">
      <text>
        <r>
          <rPr>
            <b/>
            <sz val="10"/>
            <color indexed="81"/>
            <rFont val="Calibri"/>
          </rPr>
          <t>Posen:</t>
        </r>
        <r>
          <rPr>
            <sz val="10"/>
            <color indexed="81"/>
            <rFont val="Calibri"/>
          </rPr>
          <t xml:space="preserve">
If Genzyme introduces a single shot product, how much additional mkt shr will they capture immediately? 
0% implies no one-shot investment or no new market share.</t>
        </r>
      </text>
    </comment>
    <comment ref="O61" authorId="0" shapeId="0">
      <text>
        <r>
          <rPr>
            <b/>
            <sz val="10"/>
            <color indexed="81"/>
            <rFont val="Calibri"/>
          </rPr>
          <t>Posen:</t>
        </r>
        <r>
          <rPr>
            <sz val="10"/>
            <color indexed="81"/>
            <rFont val="Calibri"/>
          </rPr>
          <t xml:space="preserve">
Implies that a decision today will lead to a product introduction in 2010.</t>
        </r>
      </text>
    </comment>
    <comment ref="F62" authorId="0" shapeId="0">
      <text>
        <r>
          <rPr>
            <b/>
            <sz val="10"/>
            <color indexed="81"/>
            <rFont val="Calibri"/>
          </rPr>
          <t>Posen:</t>
        </r>
        <r>
          <rPr>
            <sz val="10"/>
            <color indexed="81"/>
            <rFont val="Calibri"/>
          </rPr>
          <t xml:space="preserve">
Rate that Genzyme's mkt shr is changing (e.g., loss) if they don't have a single shot product. (3% from case but could change going forward)</t>
        </r>
      </text>
    </comment>
    <comment ref="G62" authorId="0" shapeId="0">
      <text>
        <r>
          <rPr>
            <b/>
            <sz val="10"/>
            <color indexed="81"/>
            <rFont val="Calibri"/>
          </rPr>
          <t>Posen:</t>
        </r>
        <r>
          <rPr>
            <sz val="10"/>
            <color indexed="81"/>
            <rFont val="Calibri"/>
          </rPr>
          <t xml:space="preserve">
If Genzyme is losing shr, this implies rivalry and reduced margins. This parameter adjusts the margin based on the change in mkt share (relative to the drop in market share). For example, if market share drops by 3 percent, a 50% in this cell will imply a 1.5% drop in margins. 
</t>
        </r>
      </text>
    </comment>
    <comment ref="F63" authorId="0" shapeId="0">
      <text>
        <r>
          <rPr>
            <b/>
            <sz val="10"/>
            <color indexed="81"/>
            <rFont val="Calibri"/>
          </rPr>
          <t>Posen:</t>
        </r>
        <r>
          <rPr>
            <sz val="10"/>
            <color indexed="81"/>
            <rFont val="Calibri"/>
          </rPr>
          <t xml:space="preserve">
If Genzyme introduces a one-shot product, how much (if any) will their mkt shr change each yr after introducing the product?</t>
        </r>
      </text>
    </comment>
    <comment ref="G63" authorId="0" shapeId="0">
      <text>
        <r>
          <rPr>
            <b/>
            <sz val="10"/>
            <color indexed="81"/>
            <rFont val="Calibri"/>
          </rPr>
          <t>Posen:</t>
        </r>
        <r>
          <rPr>
            <sz val="10"/>
            <color indexed="81"/>
            <rFont val="Calibri"/>
          </rPr>
          <t xml:space="preserve">
If Genzyme introduces a one-shot product, how much (if any) will their mkt shr change each yr after introducing the product?</t>
        </r>
      </text>
    </comment>
    <comment ref="F64" authorId="0" shapeId="0">
      <text>
        <r>
          <rPr>
            <b/>
            <sz val="10"/>
            <color indexed="81"/>
            <rFont val="Calibri"/>
          </rPr>
          <t>Posen:</t>
        </r>
        <r>
          <rPr>
            <sz val="10"/>
            <color indexed="81"/>
            <rFont val="Calibri"/>
          </rPr>
          <t xml:space="preserve">
If a rival introduces a one-shot product, will Genzyme start to lose market share again (each year)? If so, by how much?
Note that this is irrelevant if rivals don’t introduce a new product (i.e., the line below says 2099)</t>
        </r>
      </text>
    </comment>
    <comment ref="G64" authorId="0" shapeId="0">
      <text>
        <r>
          <rPr>
            <b/>
            <sz val="10"/>
            <color indexed="81"/>
            <rFont val="Calibri"/>
          </rPr>
          <t>Posen:</t>
        </r>
        <r>
          <rPr>
            <sz val="10"/>
            <color indexed="81"/>
            <rFont val="Calibri"/>
          </rPr>
          <t xml:space="preserve">
If a rival introduces a one-shot product, will Genzyme start to lose market share again (each year)? If so, by how much?
Note that this is irrelevant if rivals don’t introduce a new product (i.e., the line below says 2099)</t>
        </r>
      </text>
    </comment>
    <comment ref="F65" authorId="0" shapeId="0">
      <text>
        <r>
          <rPr>
            <b/>
            <sz val="10"/>
            <color indexed="81"/>
            <rFont val="Calibri"/>
          </rPr>
          <t>Posen:</t>
        </r>
        <r>
          <rPr>
            <sz val="10"/>
            <color indexed="81"/>
            <rFont val="Calibri"/>
          </rPr>
          <t xml:space="preserve">
If a rival enters with a single shot product, what year will they enter? (2099 means that rivals do not launch single-shot product).</t>
        </r>
      </text>
    </comment>
    <comment ref="F66" authorId="0" shapeId="0">
      <text>
        <r>
          <rPr>
            <b/>
            <sz val="10"/>
            <color indexed="81"/>
            <rFont val="Calibri"/>
          </rPr>
          <t>Posen:</t>
        </r>
        <r>
          <rPr>
            <sz val="10"/>
            <color indexed="81"/>
            <rFont val="Calibri"/>
          </rPr>
          <t xml:space="preserve">
If a rival enters, how much mkt shr will they take immediately in the year they enter? (doesn't matter unless rival enters before 2017)</t>
        </r>
      </text>
    </comment>
    <comment ref="F89" authorId="0" shapeId="0">
      <text>
        <r>
          <rPr>
            <b/>
            <sz val="10"/>
            <color indexed="81"/>
            <rFont val="Calibri"/>
          </rPr>
          <t>Posen:</t>
        </r>
        <r>
          <rPr>
            <sz val="10"/>
            <color indexed="81"/>
            <rFont val="Calibri"/>
          </rPr>
          <t xml:space="preserve">
If Genzyme introduces a single shot product, how much additional mkt shr will they capture immediately? 
0% implies no one-shot investment or no new market share.</t>
        </r>
      </text>
    </comment>
    <comment ref="O90" authorId="0" shapeId="0">
      <text>
        <r>
          <rPr>
            <b/>
            <sz val="10"/>
            <color indexed="81"/>
            <rFont val="Calibri"/>
          </rPr>
          <t>Posen:</t>
        </r>
        <r>
          <rPr>
            <sz val="10"/>
            <color indexed="81"/>
            <rFont val="Calibri"/>
          </rPr>
          <t xml:space="preserve">
Implies that a decision today will lead to a product introduction in 2010.</t>
        </r>
      </text>
    </comment>
    <comment ref="F91" authorId="0" shapeId="0">
      <text>
        <r>
          <rPr>
            <b/>
            <sz val="10"/>
            <color indexed="81"/>
            <rFont val="Calibri"/>
          </rPr>
          <t>Posen:</t>
        </r>
        <r>
          <rPr>
            <sz val="10"/>
            <color indexed="81"/>
            <rFont val="Calibri"/>
          </rPr>
          <t xml:space="preserve">
Rate that Genzyme's mkt shr is changing (e.g., loss) if they don't have a single shot product. (3% from case but could change going forward)</t>
        </r>
      </text>
    </comment>
    <comment ref="G91" authorId="0" shapeId="0">
      <text>
        <r>
          <rPr>
            <b/>
            <sz val="10"/>
            <color indexed="81"/>
            <rFont val="Calibri"/>
          </rPr>
          <t>Posen:</t>
        </r>
        <r>
          <rPr>
            <sz val="10"/>
            <color indexed="81"/>
            <rFont val="Calibri"/>
          </rPr>
          <t xml:space="preserve">
If Genzyme is losing shr, this implies rivalry and reduced margins. This parameter adjusts the margin based on the change in mkt share (relative to the drop in market share). For example, if market share drops by 3 percent, a 50% in this cell will imply a 1.5% drop in margins. 
</t>
        </r>
      </text>
    </comment>
    <comment ref="F92" authorId="0" shapeId="0">
      <text>
        <r>
          <rPr>
            <b/>
            <sz val="10"/>
            <color indexed="81"/>
            <rFont val="Calibri"/>
          </rPr>
          <t>Posen:</t>
        </r>
        <r>
          <rPr>
            <sz val="10"/>
            <color indexed="81"/>
            <rFont val="Calibri"/>
          </rPr>
          <t xml:space="preserve">
If Genzyme introduces a one-shot product, how much (if any) will their mkt shr change each yr after introducing the product?</t>
        </r>
      </text>
    </comment>
    <comment ref="G92" authorId="0" shapeId="0">
      <text>
        <r>
          <rPr>
            <b/>
            <sz val="10"/>
            <color indexed="81"/>
            <rFont val="Calibri"/>
          </rPr>
          <t>Posen:</t>
        </r>
        <r>
          <rPr>
            <sz val="10"/>
            <color indexed="81"/>
            <rFont val="Calibri"/>
          </rPr>
          <t xml:space="preserve">
If Genzyme introduces a one-shot product, how much (if any) will their mkt shr change each yr after introducing the product?</t>
        </r>
      </text>
    </comment>
    <comment ref="F93" authorId="0" shapeId="0">
      <text>
        <r>
          <rPr>
            <b/>
            <sz val="10"/>
            <color indexed="81"/>
            <rFont val="Calibri"/>
          </rPr>
          <t>Posen:</t>
        </r>
        <r>
          <rPr>
            <sz val="10"/>
            <color indexed="81"/>
            <rFont val="Calibri"/>
          </rPr>
          <t xml:space="preserve">
If a rival introduces a one-shot product, will Genzyme start to lose market share again (each year)? If so, by how much?
Note that this is irrelevant if rivals don’t introduce a new product (i.e., the line below says 2099)</t>
        </r>
      </text>
    </comment>
    <comment ref="G93" authorId="0" shapeId="0">
      <text>
        <r>
          <rPr>
            <b/>
            <sz val="10"/>
            <color indexed="81"/>
            <rFont val="Calibri"/>
          </rPr>
          <t>Posen:</t>
        </r>
        <r>
          <rPr>
            <sz val="10"/>
            <color indexed="81"/>
            <rFont val="Calibri"/>
          </rPr>
          <t xml:space="preserve">
If a rival introduces a one-shot product, will Genzyme start to lose market share again (each year)? If so, by how much?
Note that this is irrelevant if rivals don’t introduce a new product (i.e., the line below says 2099)</t>
        </r>
      </text>
    </comment>
    <comment ref="F94" authorId="0" shapeId="0">
      <text>
        <r>
          <rPr>
            <b/>
            <sz val="10"/>
            <color indexed="81"/>
            <rFont val="Calibri"/>
          </rPr>
          <t>Posen:</t>
        </r>
        <r>
          <rPr>
            <sz val="10"/>
            <color indexed="81"/>
            <rFont val="Calibri"/>
          </rPr>
          <t xml:space="preserve">
If a rival enters with a single shot product, what year will they enter? (2099 means that rivals do not launch single-shot product).</t>
        </r>
      </text>
    </comment>
    <comment ref="F95" authorId="0" shapeId="0">
      <text>
        <r>
          <rPr>
            <b/>
            <sz val="10"/>
            <color indexed="81"/>
            <rFont val="Calibri"/>
          </rPr>
          <t>Posen:</t>
        </r>
        <r>
          <rPr>
            <sz val="10"/>
            <color indexed="81"/>
            <rFont val="Calibri"/>
          </rPr>
          <t xml:space="preserve">
If a rival enters, how much mkt shr will they take immediately in the year they enter? (doesn't matter unless rival enters before 2017)</t>
        </r>
      </text>
    </comment>
    <comment ref="F119" authorId="0" shapeId="0">
      <text>
        <r>
          <rPr>
            <b/>
            <sz val="10"/>
            <color indexed="81"/>
            <rFont val="Calibri"/>
          </rPr>
          <t>Posen:</t>
        </r>
        <r>
          <rPr>
            <sz val="10"/>
            <color indexed="81"/>
            <rFont val="Calibri"/>
          </rPr>
          <t xml:space="preserve">
If Genzyme introduces a single shot product, how much additional mkt shr will they capture immediately? 
0% implies no one-shot investment or no new market share.</t>
        </r>
      </text>
    </comment>
    <comment ref="O120" authorId="0" shapeId="0">
      <text>
        <r>
          <rPr>
            <b/>
            <sz val="10"/>
            <color indexed="81"/>
            <rFont val="Calibri"/>
          </rPr>
          <t>Posen:</t>
        </r>
        <r>
          <rPr>
            <sz val="10"/>
            <color indexed="81"/>
            <rFont val="Calibri"/>
          </rPr>
          <t xml:space="preserve">
Implies that a decision today will lead to a product introduction in 2010.</t>
        </r>
      </text>
    </comment>
    <comment ref="F121" authorId="0" shapeId="0">
      <text>
        <r>
          <rPr>
            <b/>
            <sz val="10"/>
            <color indexed="81"/>
            <rFont val="Calibri"/>
          </rPr>
          <t>Posen:</t>
        </r>
        <r>
          <rPr>
            <sz val="10"/>
            <color indexed="81"/>
            <rFont val="Calibri"/>
          </rPr>
          <t xml:space="preserve">
Rate that Genzyme's mkt shr is changing (e.g., loss) if they don't have a single shot product. (3% from case but could change going forward)</t>
        </r>
      </text>
    </comment>
    <comment ref="G121" authorId="0" shapeId="0">
      <text>
        <r>
          <rPr>
            <b/>
            <sz val="10"/>
            <color indexed="81"/>
            <rFont val="Calibri"/>
          </rPr>
          <t>Posen:</t>
        </r>
        <r>
          <rPr>
            <sz val="10"/>
            <color indexed="81"/>
            <rFont val="Calibri"/>
          </rPr>
          <t xml:space="preserve">
If Genzyme is losing shr, this implies rivalry and reduced margins. This parameter adjusts the margin based on the change in mkt share (relative to the drop in market share). For example, if market share drops by 3 percent, a 50% in this cell will imply a 1.5% drop in margins. 
</t>
        </r>
      </text>
    </comment>
    <comment ref="F122" authorId="0" shapeId="0">
      <text>
        <r>
          <rPr>
            <b/>
            <sz val="10"/>
            <color indexed="81"/>
            <rFont val="Calibri"/>
          </rPr>
          <t>Posen:</t>
        </r>
        <r>
          <rPr>
            <sz val="10"/>
            <color indexed="81"/>
            <rFont val="Calibri"/>
          </rPr>
          <t xml:space="preserve">
If Genzyme introduces a one-shot product, how much (if any) will their mkt shr change each yr after introducing the product?</t>
        </r>
      </text>
    </comment>
    <comment ref="G122" authorId="0" shapeId="0">
      <text>
        <r>
          <rPr>
            <b/>
            <sz val="10"/>
            <color indexed="81"/>
            <rFont val="Calibri"/>
          </rPr>
          <t>Posen:</t>
        </r>
        <r>
          <rPr>
            <sz val="10"/>
            <color indexed="81"/>
            <rFont val="Calibri"/>
          </rPr>
          <t xml:space="preserve">
If Genzyme introduces a one-shot product, how much (if any) will their mkt shr change each yr after introducing the product?</t>
        </r>
      </text>
    </comment>
    <comment ref="F123" authorId="0" shapeId="0">
      <text>
        <r>
          <rPr>
            <b/>
            <sz val="10"/>
            <color indexed="81"/>
            <rFont val="Calibri"/>
          </rPr>
          <t>Posen:</t>
        </r>
        <r>
          <rPr>
            <sz val="10"/>
            <color indexed="81"/>
            <rFont val="Calibri"/>
          </rPr>
          <t xml:space="preserve">
If a rival introduces a one-shot product, will Genzyme start to lose market share again (each year)? If so, by how much?
Note that this is irrelevant if rivals don’t introduce a new product (i.e., the line below says 2099)</t>
        </r>
      </text>
    </comment>
    <comment ref="G123" authorId="0" shapeId="0">
      <text>
        <r>
          <rPr>
            <b/>
            <sz val="10"/>
            <color indexed="81"/>
            <rFont val="Calibri"/>
          </rPr>
          <t>Posen:</t>
        </r>
        <r>
          <rPr>
            <sz val="10"/>
            <color indexed="81"/>
            <rFont val="Calibri"/>
          </rPr>
          <t xml:space="preserve">
If a rival introduces a one-shot product, will Genzyme start to lose market share again (each year)? If so, by how much?
Note that this is irrelevant if rivals don’t introduce a new product (i.e., the line below says 2099)</t>
        </r>
      </text>
    </comment>
    <comment ref="F124" authorId="0" shapeId="0">
      <text>
        <r>
          <rPr>
            <b/>
            <sz val="10"/>
            <color indexed="81"/>
            <rFont val="Calibri"/>
          </rPr>
          <t>Posen:</t>
        </r>
        <r>
          <rPr>
            <sz val="10"/>
            <color indexed="81"/>
            <rFont val="Calibri"/>
          </rPr>
          <t xml:space="preserve">
If a rival enters with a single shot product, what year will they enter? (2099 means that rivals do not launch single-shot product).</t>
        </r>
      </text>
    </comment>
    <comment ref="F125" authorId="0" shapeId="0">
      <text>
        <r>
          <rPr>
            <b/>
            <sz val="10"/>
            <color indexed="81"/>
            <rFont val="Calibri"/>
          </rPr>
          <t>Posen:</t>
        </r>
        <r>
          <rPr>
            <sz val="10"/>
            <color indexed="81"/>
            <rFont val="Calibri"/>
          </rPr>
          <t xml:space="preserve">
If a rival enters, how much mkt shr will they take immediately in the year they enter? (doesn't matter unless rival enters before 2017)</t>
        </r>
      </text>
    </comment>
    <comment ref="F148" authorId="0" shapeId="0">
      <text>
        <r>
          <rPr>
            <b/>
            <sz val="10"/>
            <color indexed="81"/>
            <rFont val="Calibri"/>
          </rPr>
          <t>Posen:</t>
        </r>
        <r>
          <rPr>
            <sz val="10"/>
            <color indexed="81"/>
            <rFont val="Calibri"/>
          </rPr>
          <t xml:space="preserve">
If Genzyme introduces a single shot product, how much additional mkt shr will they capture immediately? 
0% implies no one-shot investment or no new market share.</t>
        </r>
      </text>
    </comment>
    <comment ref="O149" authorId="0" shapeId="0">
      <text>
        <r>
          <rPr>
            <b/>
            <sz val="10"/>
            <color indexed="81"/>
            <rFont val="Calibri"/>
          </rPr>
          <t>Posen:</t>
        </r>
        <r>
          <rPr>
            <sz val="10"/>
            <color indexed="81"/>
            <rFont val="Calibri"/>
          </rPr>
          <t xml:space="preserve">
Implies that a decision today will lead to a product introduction in 2010.</t>
        </r>
      </text>
    </comment>
    <comment ref="F150" authorId="0" shapeId="0">
      <text>
        <r>
          <rPr>
            <b/>
            <sz val="10"/>
            <color indexed="81"/>
            <rFont val="Calibri"/>
          </rPr>
          <t>Posen:</t>
        </r>
        <r>
          <rPr>
            <sz val="10"/>
            <color indexed="81"/>
            <rFont val="Calibri"/>
          </rPr>
          <t xml:space="preserve">
Rate that Genzyme's mkt shr is changing (e.g., loss) if they don't have a single shot product. (3% from case but could change going forward)</t>
        </r>
      </text>
    </comment>
    <comment ref="G150" authorId="0" shapeId="0">
      <text>
        <r>
          <rPr>
            <b/>
            <sz val="10"/>
            <color indexed="81"/>
            <rFont val="Calibri"/>
          </rPr>
          <t>Posen:</t>
        </r>
        <r>
          <rPr>
            <sz val="10"/>
            <color indexed="81"/>
            <rFont val="Calibri"/>
          </rPr>
          <t xml:space="preserve">
If Genzyme is losing shr, this implies rivalry and reduced margins. This parameter adjusts the margin based on the change in mkt share (relative to the drop in market share). For example, if market share drops by 3 percent, a 50% in this cell will imply a 1.5% drop in margins. 
</t>
        </r>
      </text>
    </comment>
    <comment ref="F151" authorId="0" shapeId="0">
      <text>
        <r>
          <rPr>
            <b/>
            <sz val="10"/>
            <color indexed="81"/>
            <rFont val="Calibri"/>
          </rPr>
          <t>Posen:</t>
        </r>
        <r>
          <rPr>
            <sz val="10"/>
            <color indexed="81"/>
            <rFont val="Calibri"/>
          </rPr>
          <t xml:space="preserve">
If Genzyme introduces a one-shot product, how much (if any) will their mkt shr change each yr after introducing the product?</t>
        </r>
      </text>
    </comment>
    <comment ref="G151" authorId="0" shapeId="0">
      <text>
        <r>
          <rPr>
            <b/>
            <sz val="10"/>
            <color indexed="81"/>
            <rFont val="Calibri"/>
          </rPr>
          <t>Posen:</t>
        </r>
        <r>
          <rPr>
            <sz val="10"/>
            <color indexed="81"/>
            <rFont val="Calibri"/>
          </rPr>
          <t xml:space="preserve">
If Genzyme introduces a one-shot product, how much (if any) will their mkt shr change each yr after introducing the product?</t>
        </r>
      </text>
    </comment>
    <comment ref="F152" authorId="0" shapeId="0">
      <text>
        <r>
          <rPr>
            <b/>
            <sz val="10"/>
            <color indexed="81"/>
            <rFont val="Calibri"/>
          </rPr>
          <t>Posen:</t>
        </r>
        <r>
          <rPr>
            <sz val="10"/>
            <color indexed="81"/>
            <rFont val="Calibri"/>
          </rPr>
          <t xml:space="preserve">
If a rival introduces a one-shot product, will Genzyme start to lose market share again (each year)? If so, by how much?
Note that this is irrelevant if rivals don’t introduce a new product (i.e., the line below says 2099)</t>
        </r>
      </text>
    </comment>
    <comment ref="G152" authorId="0" shapeId="0">
      <text>
        <r>
          <rPr>
            <b/>
            <sz val="10"/>
            <color indexed="81"/>
            <rFont val="Calibri"/>
          </rPr>
          <t>Posen:</t>
        </r>
        <r>
          <rPr>
            <sz val="10"/>
            <color indexed="81"/>
            <rFont val="Calibri"/>
          </rPr>
          <t xml:space="preserve">
If a rival introduces a one-shot product, will Genzyme start to lose market share again (each year)? If so, by how much?
Note that this is irrelevant if rivals don’t introduce a new product (i.e., the line below says 2099)</t>
        </r>
      </text>
    </comment>
    <comment ref="F153" authorId="0" shapeId="0">
      <text>
        <r>
          <rPr>
            <b/>
            <sz val="10"/>
            <color indexed="81"/>
            <rFont val="Calibri"/>
          </rPr>
          <t>Posen:</t>
        </r>
        <r>
          <rPr>
            <sz val="10"/>
            <color indexed="81"/>
            <rFont val="Calibri"/>
          </rPr>
          <t xml:space="preserve">
If a rival enters with a single shot product, what year will they enter? (2099 means that rivals do not launch single-shot product).</t>
        </r>
      </text>
    </comment>
    <comment ref="F154" authorId="0" shapeId="0">
      <text>
        <r>
          <rPr>
            <b/>
            <sz val="10"/>
            <color indexed="81"/>
            <rFont val="Calibri"/>
          </rPr>
          <t>Posen:</t>
        </r>
        <r>
          <rPr>
            <sz val="10"/>
            <color indexed="81"/>
            <rFont val="Calibri"/>
          </rPr>
          <t xml:space="preserve">
If a rival enters, how much mkt shr will they take immediately in the year they enter? (doesn't matter unless rival enters before 2017)</t>
        </r>
      </text>
    </comment>
    <comment ref="F177" authorId="0" shapeId="0">
      <text>
        <r>
          <rPr>
            <b/>
            <sz val="10"/>
            <color indexed="81"/>
            <rFont val="Calibri"/>
          </rPr>
          <t>Posen:</t>
        </r>
        <r>
          <rPr>
            <sz val="10"/>
            <color indexed="81"/>
            <rFont val="Calibri"/>
          </rPr>
          <t xml:space="preserve">
If Genzyme introduces a single shot product, how much additional mkt shr will they capture immediately? 
0% implies no one-shot investment or no new market share.</t>
        </r>
      </text>
    </comment>
    <comment ref="O178" authorId="0" shapeId="0">
      <text>
        <r>
          <rPr>
            <b/>
            <sz val="10"/>
            <color indexed="81"/>
            <rFont val="Calibri"/>
          </rPr>
          <t>Posen:</t>
        </r>
        <r>
          <rPr>
            <sz val="10"/>
            <color indexed="81"/>
            <rFont val="Calibri"/>
          </rPr>
          <t xml:space="preserve">
Implies that a decision today will lead to a product introduction in 2010.</t>
        </r>
      </text>
    </comment>
    <comment ref="F179" authorId="0" shapeId="0">
      <text>
        <r>
          <rPr>
            <b/>
            <sz val="10"/>
            <color indexed="81"/>
            <rFont val="Calibri"/>
          </rPr>
          <t>Posen:</t>
        </r>
        <r>
          <rPr>
            <sz val="10"/>
            <color indexed="81"/>
            <rFont val="Calibri"/>
          </rPr>
          <t xml:space="preserve">
Rate that Genzyme's mkt shr is changing (e.g., loss) if they don't have a single shot product. (3% from case but could change going forward)</t>
        </r>
      </text>
    </comment>
    <comment ref="G179" authorId="0" shapeId="0">
      <text>
        <r>
          <rPr>
            <b/>
            <sz val="10"/>
            <color indexed="81"/>
            <rFont val="Calibri"/>
          </rPr>
          <t>Posen:</t>
        </r>
        <r>
          <rPr>
            <sz val="10"/>
            <color indexed="81"/>
            <rFont val="Calibri"/>
          </rPr>
          <t xml:space="preserve">
If Genzyme is losing shr, this implies rivalry and reduced margins. This parameter adjusts the margin based on the change in mkt share (relative to the drop in market share). For example, if market share drops by 3 percent, a 50% in this cell will imply a 1.5% drop in margins. 
</t>
        </r>
      </text>
    </comment>
    <comment ref="F180" authorId="0" shapeId="0">
      <text>
        <r>
          <rPr>
            <b/>
            <sz val="10"/>
            <color indexed="81"/>
            <rFont val="Calibri"/>
          </rPr>
          <t>Posen:</t>
        </r>
        <r>
          <rPr>
            <sz val="10"/>
            <color indexed="81"/>
            <rFont val="Calibri"/>
          </rPr>
          <t xml:space="preserve">
If Genzyme introduces a one-shot product, how much (if any) will their mkt shr change each yr after introducing the product?</t>
        </r>
      </text>
    </comment>
    <comment ref="G180" authorId="0" shapeId="0">
      <text>
        <r>
          <rPr>
            <b/>
            <sz val="10"/>
            <color indexed="81"/>
            <rFont val="Calibri"/>
          </rPr>
          <t>Posen:</t>
        </r>
        <r>
          <rPr>
            <sz val="10"/>
            <color indexed="81"/>
            <rFont val="Calibri"/>
          </rPr>
          <t xml:space="preserve">
If Genzyme introduces a one-shot product, how much (if any) will their mkt shr change each yr after introducing the product?</t>
        </r>
      </text>
    </comment>
    <comment ref="F181" authorId="0" shapeId="0">
      <text>
        <r>
          <rPr>
            <b/>
            <sz val="10"/>
            <color indexed="81"/>
            <rFont val="Calibri"/>
          </rPr>
          <t>Posen:</t>
        </r>
        <r>
          <rPr>
            <sz val="10"/>
            <color indexed="81"/>
            <rFont val="Calibri"/>
          </rPr>
          <t xml:space="preserve">
If a rival introduces a one-shot product, will Genzyme start to lose market share again (each year)? If so, by how much?
Note that this is irrelevant if rivals don’t introduce a new product (i.e., the line below says 2099)</t>
        </r>
      </text>
    </comment>
    <comment ref="G181" authorId="0" shapeId="0">
      <text>
        <r>
          <rPr>
            <b/>
            <sz val="10"/>
            <color indexed="81"/>
            <rFont val="Calibri"/>
          </rPr>
          <t>Posen:</t>
        </r>
        <r>
          <rPr>
            <sz val="10"/>
            <color indexed="81"/>
            <rFont val="Calibri"/>
          </rPr>
          <t xml:space="preserve">
If a rival introduces a one-shot product, will Genzyme start to lose market share again (each year)? If so, by how much?
Note that this is irrelevant if rivals don’t introduce a new product (i.e., the line below says 2099)</t>
        </r>
      </text>
    </comment>
    <comment ref="F182" authorId="0" shapeId="0">
      <text>
        <r>
          <rPr>
            <b/>
            <sz val="10"/>
            <color indexed="81"/>
            <rFont val="Calibri"/>
          </rPr>
          <t>Posen:</t>
        </r>
        <r>
          <rPr>
            <sz val="10"/>
            <color indexed="81"/>
            <rFont val="Calibri"/>
          </rPr>
          <t xml:space="preserve">
If a rival enters with a single shot product, what year will they enter? (2099 means that rivals do not launch single-shot product).</t>
        </r>
      </text>
    </comment>
    <comment ref="F183" authorId="0" shapeId="0">
      <text>
        <r>
          <rPr>
            <b/>
            <sz val="10"/>
            <color indexed="81"/>
            <rFont val="Calibri"/>
          </rPr>
          <t>Posen:</t>
        </r>
        <r>
          <rPr>
            <sz val="10"/>
            <color indexed="81"/>
            <rFont val="Calibri"/>
          </rPr>
          <t xml:space="preserve">
If a rival enters, how much mkt shr will they take immediately in the year they enter? (doesn't matter unless rival enters before 2017)</t>
        </r>
      </text>
    </comment>
  </commentList>
</comments>
</file>

<file path=xl/sharedStrings.xml><?xml version="1.0" encoding="utf-8"?>
<sst xmlns="http://schemas.openxmlformats.org/spreadsheetml/2006/main" count="367" uniqueCount="150">
  <si>
    <t>Revenue</t>
  </si>
  <si>
    <t>Profit margin</t>
  </si>
  <si>
    <t>Gross Margin</t>
  </si>
  <si>
    <t>SG&amp;A</t>
  </si>
  <si>
    <t>Operating profit</t>
  </si>
  <si>
    <t>Share</t>
  </si>
  <si>
    <t>Cost of capital</t>
  </si>
  <si>
    <t>Tax rate</t>
  </si>
  <si>
    <t>Taxes</t>
  </si>
  <si>
    <t>Profit After Tax</t>
  </si>
  <si>
    <t>Discounted Cash Flows</t>
  </si>
  <si>
    <t>Terminal</t>
  </si>
  <si>
    <t>Terminal growth rate</t>
  </si>
  <si>
    <t>Foreign Revenue</t>
  </si>
  <si>
    <t>Less investment</t>
  </si>
  <si>
    <t>Initial Conditions (from case writeup):</t>
  </si>
  <si>
    <t>Given Assumptions from the case</t>
  </si>
  <si>
    <t>Category growth rate:</t>
  </si>
  <si>
    <t>Instructions</t>
  </si>
  <si>
    <r>
      <t>Strategic Assumptions</t>
    </r>
    <r>
      <rPr>
        <sz val="11"/>
        <color theme="1"/>
        <rFont val="Calibri"/>
        <family val="2"/>
        <scheme val="minor"/>
      </rPr>
      <t xml:space="preserve"> (Status quo from the case)</t>
    </r>
    <r>
      <rPr>
        <b/>
        <sz val="11"/>
        <color theme="1"/>
        <rFont val="Calibri"/>
        <family val="2"/>
        <scheme val="minor"/>
      </rPr>
      <t>:</t>
    </r>
  </si>
  <si>
    <t>Value Created</t>
  </si>
  <si>
    <t>Net Value Created</t>
  </si>
  <si>
    <t>Use at the end of a tree branch to reflect the value created in this scenario</t>
  </si>
  <si>
    <t xml:space="preserve">     Must add up to 100%</t>
  </si>
  <si>
    <t xml:space="preserve">     Expected Value (Invest)</t>
  </si>
  <si>
    <t>Overview of Analysis</t>
  </si>
  <si>
    <t>Decision (if accurate assumptions):</t>
  </si>
  <si>
    <t>3. Estimate the probability that each scenario will occur if they invest or do not invest (should add up to 100% in each case)</t>
  </si>
  <si>
    <t>4. What is the expected value of pursuing the investment compared to choosing not to invest?</t>
  </si>
  <si>
    <t>Best case (2)</t>
  </si>
  <si>
    <t>Middle case (3)</t>
  </si>
  <si>
    <t>Worst case (4)</t>
  </si>
  <si>
    <t>Base case - status quo (1)</t>
  </si>
  <si>
    <t>NPV of scenario excluding $75M investment cost</t>
  </si>
  <si>
    <t xml:space="preserve">     Expected Value (Don't Invest)</t>
  </si>
  <si>
    <t>5. Draw a decision tree to reflect the analysis below. There is an example on the next sheet. You may simply do it with pencil/paper (nothing fancy needed).</t>
  </si>
  <si>
    <t>6. Sensitivity analysis: What assumptions would change your recommended decision?</t>
  </si>
  <si>
    <t>2. Change the assumptions in scenarios 2-4 to reflect what you wouild expect to happen in the described scenarios (status quo, best case, etc)</t>
  </si>
  <si>
    <t>Revenue ($M)</t>
  </si>
  <si>
    <t>Gross Profit</t>
  </si>
  <si>
    <t>Op Inc</t>
  </si>
  <si>
    <t>NetInc</t>
  </si>
  <si>
    <t>GrossMgn</t>
  </si>
  <si>
    <t>IncBefTax</t>
  </si>
  <si>
    <t>Tax Exp</t>
  </si>
  <si>
    <t>TaxRate</t>
  </si>
  <si>
    <t>SG&amp;A%</t>
  </si>
  <si>
    <t>WF SG&amp;A%</t>
  </si>
  <si>
    <t>WF Cost of capital</t>
  </si>
  <si>
    <t>Amazon Cost of capital</t>
  </si>
  <si>
    <r>
      <t xml:space="preserve">     </t>
    </r>
    <r>
      <rPr>
        <u/>
        <sz val="11"/>
        <color theme="1"/>
        <rFont val="Calibri"/>
        <family val="2"/>
        <scheme val="minor"/>
      </rPr>
      <t>before</t>
    </r>
    <r>
      <rPr>
        <sz val="11"/>
        <color theme="1"/>
        <rFont val="Calibri"/>
        <family val="2"/>
        <scheme val="minor"/>
      </rPr>
      <t xml:space="preserve"> online push:</t>
    </r>
  </si>
  <si>
    <r>
      <t xml:space="preserve">     </t>
    </r>
    <r>
      <rPr>
        <u/>
        <sz val="11"/>
        <color theme="1"/>
        <rFont val="Calibri"/>
        <family val="2"/>
        <scheme val="minor"/>
      </rPr>
      <t>after</t>
    </r>
    <r>
      <rPr>
        <sz val="11"/>
        <color theme="1"/>
        <rFont val="Calibri"/>
        <family val="2"/>
        <scheme val="minor"/>
      </rPr>
      <t xml:space="preserve"> online push:</t>
    </r>
  </si>
  <si>
    <r>
      <t xml:space="preserve">     </t>
    </r>
    <r>
      <rPr>
        <u/>
        <sz val="11"/>
        <color theme="1"/>
        <rFont val="Calibri"/>
        <family val="2"/>
        <scheme val="minor"/>
      </rPr>
      <t>after</t>
    </r>
    <r>
      <rPr>
        <sz val="11"/>
        <color theme="1"/>
        <rFont val="Calibri"/>
        <family val="2"/>
        <scheme val="minor"/>
      </rPr>
      <t xml:space="preserve"> rivals online push:</t>
    </r>
  </si>
  <si>
    <t>WF Revenue Change</t>
  </si>
  <si>
    <t>RevGrow</t>
  </si>
  <si>
    <t>NetIncGrow</t>
  </si>
  <si>
    <t>WF initial profit margin</t>
  </si>
  <si>
    <t>WF initial market share</t>
  </si>
  <si>
    <t>Rival online push takes this share away:</t>
  </si>
  <si>
    <t>Rivals online push hits:</t>
  </si>
  <si>
    <t>WholeFoods tax rate</t>
  </si>
  <si>
    <t>Sales Δ</t>
  </si>
  <si>
    <t>Initial revenue bump for online rollout</t>
  </si>
  <si>
    <t>Annual WF Performance change:</t>
  </si>
  <si>
    <t>Cost of acquisition</t>
  </si>
  <si>
    <t>GrossMgn Δ</t>
  </si>
  <si>
    <t>Yrs required to execute online push</t>
  </si>
  <si>
    <t>1. Review the assumptions in the base model (scenario 1: Whole Foods Stand Alone Value) - Yellow boxes reflect assumptions you may/must change</t>
  </si>
  <si>
    <t>Acquisition cost</t>
  </si>
  <si>
    <t>Probabilities (Buy WF scenarios):</t>
  </si>
  <si>
    <t>Probabilities (Don't Buy WF scenarios):</t>
  </si>
  <si>
    <t>High return alternative</t>
  </si>
  <si>
    <t>Low return alternative</t>
  </si>
  <si>
    <t>Scenario (5): Don't buy - high return alternative</t>
  </si>
  <si>
    <t>Scenario (6): Don't buy - Low return alternative</t>
  </si>
  <si>
    <t>Return of alternative investment</t>
  </si>
  <si>
    <t>36637329</t>
  </si>
  <si>
    <t>Name</t>
  </si>
  <si>
    <t>SheetRef</t>
  </si>
  <si>
    <t>GenInfo</t>
  </si>
  <si>
    <t>Def. Link</t>
  </si>
  <si>
    <t>EXT REFS</t>
  </si>
  <si>
    <t>Def. Form</t>
  </si>
  <si>
    <t>Calc Macro</t>
  </si>
  <si>
    <t>Highest#</t>
  </si>
  <si>
    <t>Ptree1 Compatibility</t>
  </si>
  <si>
    <t>Model GUID</t>
  </si>
  <si>
    <t>Eval. Function</t>
  </si>
  <si>
    <t>Creation Version</t>
  </si>
  <si>
    <t>Required Version</t>
  </si>
  <si>
    <t>Recommended Version</t>
  </si>
  <si>
    <t>Last Modified By Version</t>
  </si>
  <si>
    <t>Output Label</t>
  </si>
  <si>
    <t>Output Value NF</t>
  </si>
  <si>
    <t>Output Prob NF</t>
  </si>
  <si>
    <t>Input Value NF</t>
  </si>
  <si>
    <t>Input Prob NF</t>
  </si>
  <si>
    <t>R-Value Ref.</t>
  </si>
  <si>
    <t>Anchor Cell</t>
  </si>
  <si>
    <t>Branch Name</t>
  </si>
  <si>
    <t>bformtype</t>
  </si>
  <si>
    <t>valformula</t>
  </si>
  <si>
    <t>pbformula</t>
  </si>
  <si>
    <t>distribution</t>
  </si>
  <si>
    <t>cumPayoffFunction</t>
  </si>
  <si>
    <t>link</t>
  </si>
  <si>
    <t>ENDNODEFORMULA</t>
  </si>
  <si>
    <t>VAL</t>
  </si>
  <si>
    <t>PB</t>
  </si>
  <si>
    <t>IntRefs</t>
  </si>
  <si>
    <t>RefRefs</t>
  </si>
  <si>
    <t>NodeNames</t>
  </si>
  <si>
    <t>Collapsed</t>
  </si>
  <si>
    <t>=</t>
  </si>
  <si>
    <t>7.5.0</t>
  </si>
  <si>
    <t>5.0.0</t>
  </si>
  <si>
    <t>&lt;NF&gt;</t>
  </si>
  <si>
    <t>Automatic</t>
  </si>
  <si>
    <t/>
  </si>
  <si>
    <t>DEFAULT</t>
  </si>
  <si>
    <t>0</t>
  </si>
  <si>
    <t>0,1,1,0,0,Exponential, 0,0,-1,0,-1,-1,.0001</t>
  </si>
  <si>
    <t>Buy WF?</t>
  </si>
  <si>
    <t>2,0,0,2,2,3,0,0,0</t>
  </si>
  <si>
    <t>Buy</t>
  </si>
  <si>
    <t>Don't Buy</t>
  </si>
  <si>
    <t>WF Decision</t>
  </si>
  <si>
    <t>1,0,0,2,4,5,1,0,0</t>
  </si>
  <si>
    <t>Same</t>
  </si>
  <si>
    <t>4,0,0,0,4,0,0</t>
  </si>
  <si>
    <t>1,0,0,2,6,7,2,0,0</t>
  </si>
  <si>
    <t>Rival</t>
  </si>
  <si>
    <t>Strong</t>
  </si>
  <si>
    <t>Weak</t>
  </si>
  <si>
    <t>Scenario (2): Best (Better #s &amp; no rival)</t>
  </si>
  <si>
    <t>#s (Revenue &amp; Mgn)</t>
  </si>
  <si>
    <t>Improve</t>
  </si>
  <si>
    <t>1,0,0,2,18,19,1,0,0</t>
  </si>
  <si>
    <t>4,0,0,0,3,0,0</t>
  </si>
  <si>
    <t>1,0,0,2,8,9,2,0,0</t>
  </si>
  <si>
    <t>4,0,0,0,5,0,0</t>
  </si>
  <si>
    <t>Alt Invstmnt</t>
  </si>
  <si>
    <t>Scenario (3): Middle (Better #s &amp; rival)</t>
  </si>
  <si>
    <t>Amazon/Whole Foods Decision Analysis</t>
  </si>
  <si>
    <t>Yrs to ramp up</t>
  </si>
  <si>
    <r>
      <t xml:space="preserve">Scenario (1): Status </t>
    </r>
    <r>
      <rPr>
        <b/>
        <sz val="11"/>
        <color theme="0"/>
        <rFont val="Calibri"/>
        <family val="2"/>
        <scheme val="minor"/>
      </rPr>
      <t xml:space="preserve">quo (no </t>
    </r>
    <r>
      <rPr>
        <b/>
        <sz val="11"/>
        <color theme="0"/>
        <rFont val="Calibri Light"/>
        <family val="2"/>
      </rPr>
      <t>Δ</t>
    </r>
    <r>
      <rPr>
        <b/>
        <sz val="12.55"/>
        <color theme="0"/>
        <rFont val="Calibri"/>
        <family val="2"/>
      </rPr>
      <t xml:space="preserve"> #s &amp; no rival</t>
    </r>
    <r>
      <rPr>
        <b/>
        <sz val="11"/>
        <color theme="0"/>
        <rFont val="Calibri"/>
        <family val="2"/>
        <scheme val="minor"/>
      </rPr>
      <t>)</t>
    </r>
  </si>
  <si>
    <r>
      <t xml:space="preserve">Scenario (4): Worst (No </t>
    </r>
    <r>
      <rPr>
        <b/>
        <sz val="11"/>
        <color theme="0"/>
        <rFont val="Calibri Light"/>
        <family val="2"/>
      </rPr>
      <t>Δ</t>
    </r>
    <r>
      <rPr>
        <b/>
        <sz val="12.55"/>
        <color theme="0"/>
        <rFont val="Calibri"/>
        <family val="2"/>
      </rPr>
      <t xml:space="preserve"> in #s &amp; rival</t>
    </r>
    <r>
      <rPr>
        <b/>
        <sz val="11"/>
        <color theme="0"/>
        <rFont val="Calibri"/>
        <family val="2"/>
        <scheme val="minor"/>
      </rPr>
      <t>)</t>
    </r>
  </si>
  <si>
    <t>Before bid</t>
  </si>
  <si>
    <t>After bid</t>
  </si>
  <si>
    <t>Premium</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</si>
</sst>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64" formatCode="0.0%"/>
    <numFmt numFmtId="165" formatCode="&quot;$&quot;#,##0.00"/>
    <numFmt numFmtId="166" formatCode="&quot;$&quot;#,##0.0"/>
    <numFmt numFmtId="167" formatCode="&quot;$&quot;#,##0"/>
    <numFmt numFmtId="168" formatCode="[&gt;0.00001]0.0###%;[=0]0.0%;0.00E+00"/>
  </numFmts>
  <fonts count="24" x14ac:knownFonts="1">
    <font>
      <sz val="11"/>
      <color theme="1"/>
      <name val="Calibri"/>
      <family val="2"/>
      <scheme val="minor"/>
    </font>
    <font>
      <b/>
      <sz val="11"/>
      <color theme="1"/>
      <name val="Calibri"/>
      <family val="2"/>
      <scheme val="minor"/>
    </font>
    <font>
      <b/>
      <sz val="11"/>
      <color theme="2"/>
      <name val="Calibri"/>
      <family val="2"/>
      <scheme val="minor"/>
    </font>
    <font>
      <sz val="11"/>
      <color theme="2"/>
      <name val="Calibri"/>
      <family val="2"/>
      <scheme val="minor"/>
    </font>
    <font>
      <b/>
      <u/>
      <sz val="11"/>
      <color theme="1"/>
      <name val="Calibri"/>
      <family val="2"/>
      <scheme val="minor"/>
    </font>
    <font>
      <sz val="11"/>
      <name val="Calibri"/>
      <family val="2"/>
      <scheme val="minor"/>
    </font>
    <font>
      <u/>
      <sz val="11"/>
      <color theme="1"/>
      <name val="Calibri"/>
      <family val="2"/>
      <scheme val="minor"/>
    </font>
    <font>
      <i/>
      <sz val="11"/>
      <color theme="4" tint="-0.249977111117893"/>
      <name val="Calibri"/>
      <family val="2"/>
      <scheme val="minor"/>
    </font>
    <font>
      <b/>
      <sz val="11"/>
      <color rgb="FF009A46"/>
      <name val="Calibri"/>
      <family val="2"/>
      <scheme val="minor"/>
    </font>
    <font>
      <sz val="10"/>
      <color indexed="81"/>
      <name val="Calibri"/>
    </font>
    <font>
      <b/>
      <sz val="10"/>
      <color indexed="81"/>
      <name val="Calibri"/>
    </font>
    <font>
      <u/>
      <sz val="11"/>
      <color theme="10"/>
      <name val="Calibri"/>
      <family val="2"/>
      <scheme val="minor"/>
    </font>
    <font>
      <u/>
      <sz val="11"/>
      <color theme="11"/>
      <name val="Calibri"/>
      <family val="2"/>
      <scheme val="minor"/>
    </font>
    <font>
      <sz val="14"/>
      <color theme="1"/>
      <name val="Calibri"/>
      <family val="2"/>
      <scheme val="minor"/>
    </font>
    <font>
      <b/>
      <i/>
      <sz val="11"/>
      <color theme="1"/>
      <name val="Calibri"/>
      <family val="2"/>
      <scheme val="minor"/>
    </font>
    <font>
      <b/>
      <sz val="11"/>
      <color theme="0"/>
      <name val="Calibri"/>
      <family val="2"/>
      <scheme val="minor"/>
    </font>
    <font>
      <b/>
      <sz val="8"/>
      <color rgb="FF000080"/>
      <name val="Calibri"/>
      <family val="2"/>
      <scheme val="minor"/>
    </font>
    <font>
      <sz val="8"/>
      <color theme="1"/>
      <name val="Calibri"/>
      <family val="2"/>
      <scheme val="minor"/>
    </font>
    <font>
      <b/>
      <sz val="8"/>
      <color rgb="FF008000"/>
      <name val="Calibri"/>
      <family val="2"/>
      <scheme val="minor"/>
    </font>
    <font>
      <sz val="8"/>
      <color rgb="FF008000"/>
      <name val="Calibri"/>
      <family val="2"/>
      <scheme val="minor"/>
    </font>
    <font>
      <b/>
      <sz val="8"/>
      <color rgb="FF800000"/>
      <name val="Calibri"/>
      <family val="2"/>
      <scheme val="minor"/>
    </font>
    <font>
      <sz val="8"/>
      <color rgb="FF800000"/>
      <name val="Calibri"/>
      <family val="2"/>
      <scheme val="minor"/>
    </font>
    <font>
      <b/>
      <sz val="11"/>
      <color theme="0"/>
      <name val="Calibri Light"/>
      <family val="2"/>
    </font>
    <font>
      <b/>
      <sz val="12.55"/>
      <color theme="0"/>
      <name val="Calibri"/>
      <family val="2"/>
    </font>
  </fonts>
  <fills count="4">
    <fill>
      <patternFill patternType="none"/>
    </fill>
    <fill>
      <patternFill patternType="gray125"/>
    </fill>
    <fill>
      <patternFill patternType="solid">
        <fgColor theme="4" tint="-0.24994659260841701"/>
        <bgColor indexed="64"/>
      </patternFill>
    </fill>
    <fill>
      <patternFill patternType="solid">
        <fgColor rgb="FFFFFF00"/>
        <bgColor indexed="64"/>
      </patternFill>
    </fill>
  </fills>
  <borders count="5">
    <border>
      <left/>
      <right/>
      <top/>
      <bottom/>
      <diagonal/>
    </border>
    <border>
      <left/>
      <right/>
      <top/>
      <bottom style="medium">
        <color auto="1"/>
      </bottom>
      <diagonal/>
    </border>
    <border>
      <left style="medium">
        <color rgb="FFFF0000"/>
      </left>
      <right/>
      <top style="thin">
        <color rgb="FFFF0000"/>
      </top>
      <bottom style="medium">
        <color rgb="FFFF0000"/>
      </bottom>
      <diagonal/>
    </border>
    <border>
      <left/>
      <right/>
      <top style="thin">
        <color rgb="FFFF0000"/>
      </top>
      <bottom style="medium">
        <color rgb="FFFF0000"/>
      </bottom>
      <diagonal/>
    </border>
    <border>
      <left/>
      <right style="medium">
        <color rgb="FFFF0000"/>
      </right>
      <top style="thin">
        <color rgb="FFFF0000"/>
      </top>
      <bottom style="medium">
        <color rgb="FFFF0000"/>
      </bottom>
      <diagonal/>
    </border>
  </borders>
  <cellStyleXfs count="29">
    <xf numFmtId="0" fontId="0" fillId="0" borderId="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cellStyleXfs>
  <cellXfs count="48">
    <xf numFmtId="0" fontId="0" fillId="0" borderId="0" xfId="0"/>
    <xf numFmtId="164" fontId="0" fillId="0" borderId="0" xfId="0" applyNumberFormat="1"/>
    <xf numFmtId="0" fontId="1" fillId="0" borderId="0" xfId="0" applyFont="1"/>
    <xf numFmtId="9" fontId="0" fillId="0" borderId="0" xfId="0" applyNumberFormat="1"/>
    <xf numFmtId="165" fontId="0" fillId="0" borderId="0" xfId="0" applyNumberFormat="1"/>
    <xf numFmtId="166" fontId="0" fillId="0" borderId="0" xfId="0" applyNumberFormat="1"/>
    <xf numFmtId="0" fontId="2" fillId="2" borderId="1" xfId="0" applyFont="1" applyFill="1" applyBorder="1"/>
    <xf numFmtId="0" fontId="3" fillId="2" borderId="1" xfId="0" applyFont="1" applyFill="1" applyBorder="1"/>
    <xf numFmtId="0" fontId="4" fillId="0" borderId="0" xfId="0" applyFont="1" applyAlignment="1">
      <alignment horizontal="right"/>
    </xf>
    <xf numFmtId="0" fontId="0" fillId="0" borderId="0" xfId="0" applyFont="1"/>
    <xf numFmtId="167" fontId="0" fillId="0" borderId="0" xfId="0" applyNumberFormat="1"/>
    <xf numFmtId="0" fontId="5" fillId="0" borderId="0" xfId="0" applyFont="1"/>
    <xf numFmtId="0" fontId="0" fillId="0" borderId="0" xfId="0" applyAlignment="1">
      <alignment horizontal="right"/>
    </xf>
    <xf numFmtId="0" fontId="7" fillId="0" borderId="0" xfId="0" applyFont="1"/>
    <xf numFmtId="0" fontId="0" fillId="0" borderId="0" xfId="0" applyFill="1"/>
    <xf numFmtId="164" fontId="0" fillId="0" borderId="0" xfId="0" applyNumberFormat="1" applyFill="1"/>
    <xf numFmtId="167" fontId="1" fillId="0" borderId="0" xfId="0" applyNumberFormat="1" applyFont="1"/>
    <xf numFmtId="0" fontId="1" fillId="0" borderId="0" xfId="0" applyFont="1" applyAlignment="1">
      <alignment horizontal="left"/>
    </xf>
    <xf numFmtId="0" fontId="0" fillId="0" borderId="0" xfId="0" applyFill="1" applyAlignment="1">
      <alignment horizontal="right"/>
    </xf>
    <xf numFmtId="164" fontId="0" fillId="3" borderId="0" xfId="0" applyNumberFormat="1" applyFill="1"/>
    <xf numFmtId="0" fontId="0" fillId="3" borderId="0" xfId="0" applyFill="1"/>
    <xf numFmtId="0" fontId="1" fillId="0" borderId="2" xfId="0" applyFont="1" applyBorder="1"/>
    <xf numFmtId="0" fontId="0" fillId="0" borderId="3" xfId="0" applyBorder="1"/>
    <xf numFmtId="165" fontId="0" fillId="0" borderId="3" xfId="0" applyNumberFormat="1" applyBorder="1"/>
    <xf numFmtId="0" fontId="8" fillId="0" borderId="3" xfId="0" applyFont="1" applyBorder="1"/>
    <xf numFmtId="166" fontId="0" fillId="0" borderId="4" xfId="0" applyNumberFormat="1" applyBorder="1"/>
    <xf numFmtId="0" fontId="13" fillId="0" borderId="0" xfId="0" applyFont="1"/>
    <xf numFmtId="3" fontId="0" fillId="0" borderId="0" xfId="0" applyNumberFormat="1"/>
    <xf numFmtId="0" fontId="6" fillId="0" borderId="0" xfId="0" applyFont="1"/>
    <xf numFmtId="167" fontId="0" fillId="0" borderId="0" xfId="0" applyNumberFormat="1" applyFill="1"/>
    <xf numFmtId="0" fontId="14" fillId="0" borderId="0" xfId="0" applyFont="1"/>
    <xf numFmtId="0" fontId="0" fillId="0" borderId="0" xfId="0" quotePrefix="1" applyAlignment="1">
      <alignment horizontal="left"/>
    </xf>
    <xf numFmtId="0" fontId="0" fillId="0" borderId="0" xfId="0" applyAlignment="1">
      <alignment horizontal="left"/>
    </xf>
    <xf numFmtId="0" fontId="0" fillId="0" borderId="0" xfId="0" applyNumberFormat="1" applyAlignment="1">
      <alignment horizontal="left"/>
    </xf>
    <xf numFmtId="168" fontId="16" fillId="0" borderId="0" xfId="0" applyNumberFormat="1" applyFont="1" applyAlignment="1">
      <alignment horizontal="center"/>
    </xf>
    <xf numFmtId="0" fontId="17" fillId="0" borderId="0" xfId="0" applyFont="1" applyAlignment="1">
      <alignment horizontal="right"/>
    </xf>
    <xf numFmtId="0" fontId="19" fillId="0" borderId="0" xfId="0" applyNumberFormat="1" applyFont="1" applyAlignment="1">
      <alignment horizontal="center"/>
    </xf>
    <xf numFmtId="0" fontId="18" fillId="0" borderId="0" xfId="0" applyFont="1" applyAlignment="1">
      <alignment horizontal="right"/>
    </xf>
    <xf numFmtId="0" fontId="21" fillId="0" borderId="0" xfId="0" applyNumberFormat="1" applyFont="1" applyAlignment="1">
      <alignment horizontal="center"/>
    </xf>
    <xf numFmtId="168" fontId="17" fillId="0" borderId="0" xfId="0" applyNumberFormat="1" applyFont="1" applyAlignment="1">
      <alignment horizontal="right"/>
    </xf>
    <xf numFmtId="0" fontId="21" fillId="0" borderId="0" xfId="0" applyNumberFormat="1" applyFont="1" applyAlignment="1">
      <alignment horizontal="right"/>
    </xf>
    <xf numFmtId="167" fontId="17" fillId="0" borderId="0" xfId="0" applyNumberFormat="1" applyFont="1" applyAlignment="1">
      <alignment horizontal="right"/>
    </xf>
    <xf numFmtId="167" fontId="20" fillId="0" borderId="0" xfId="0" applyNumberFormat="1" applyFont="1" applyAlignment="1">
      <alignment horizontal="center"/>
    </xf>
    <xf numFmtId="167" fontId="18" fillId="0" borderId="0" xfId="0" applyNumberFormat="1" applyFont="1" applyAlignment="1">
      <alignment horizontal="center"/>
    </xf>
    <xf numFmtId="167" fontId="16" fillId="0" borderId="0" xfId="0" applyNumberFormat="1" applyFont="1" applyAlignment="1">
      <alignment horizontal="center"/>
    </xf>
    <xf numFmtId="0" fontId="2" fillId="2" borderId="1" xfId="0" applyFont="1" applyFill="1" applyBorder="1" applyAlignment="1">
      <alignment horizontal="centerContinuous"/>
    </xf>
    <xf numFmtId="0" fontId="3" fillId="2" borderId="1" xfId="0" applyFont="1" applyFill="1" applyBorder="1" applyAlignment="1">
      <alignment horizontal="centerContinuous"/>
    </xf>
    <xf numFmtId="0" fontId="15" fillId="2" borderId="1" xfId="0" applyFont="1" applyFill="1" applyBorder="1"/>
  </cellXfs>
  <cellStyles count="29">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Followed Hyperlink" xfId="24" builtinId="9" hidden="1"/>
    <cellStyle name="Followed Hyperlink" xfId="26" builtinId="9" hidden="1"/>
    <cellStyle name="Followed Hyperlink" xfId="28"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Hyperlink" xfId="25" builtinId="8" hidden="1"/>
    <cellStyle name="Hyperlink" xfId="27" builtinId="8" hidden="1"/>
    <cellStyle name="Normal" xfId="0" builtinId="0"/>
  </cellStyles>
  <dxfs count="2">
    <dxf>
      <font>
        <color rgb="FFC00000"/>
      </font>
    </dxf>
    <dxf>
      <font>
        <b/>
        <i val="0"/>
        <color theme="0"/>
      </font>
      <fill>
        <patternFill>
          <bgColor rgb="FFC00000"/>
        </patternFill>
      </fill>
    </dxf>
  </dxfs>
  <tableStyles count="0" defaultTableStyle="TableStyleMedium9" defaultPivotStyle="PivotStyleLight16"/>
  <colors>
    <mruColors>
      <color rgb="FF009A4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1"/>
            </a:pPr>
            <a:r>
              <a:rPr lang="en-US"/>
              <a:t>Strategy Region for Node 'Buy WF?' </a:t>
            </a:r>
          </a:p>
        </c:rich>
      </c:tx>
      <c:layout/>
      <c:overlay val="0"/>
    </c:title>
    <c:autoTitleDeleted val="0"/>
    <c:plotArea>
      <c:layout>
        <c:manualLayout>
          <c:layoutTarget val="inner"/>
          <c:xMode val="edge"/>
          <c:yMode val="edge"/>
          <c:x val="0.11407940245787036"/>
          <c:y val="9.1616499849453928E-2"/>
          <c:w val="0.85422989182426978"/>
          <c:h val="0.78067371648068906"/>
        </c:manualLayout>
      </c:layout>
      <c:scatterChart>
        <c:scatterStyle val="lineMarker"/>
        <c:varyColors val="0"/>
        <c:ser>
          <c:idx val="0"/>
          <c:order val="0"/>
          <c:tx>
            <c:v>Buy</c:v>
          </c:tx>
          <c:spPr>
            <a:ln w="19050">
              <a:noFill/>
            </a:ln>
          </c:spPr>
          <c:marker>
            <c:symbol val="diamond"/>
            <c:size val="10"/>
            <c:spPr>
              <a:solidFill>
                <a:srgbClr val="333399"/>
              </a:solidFill>
              <a:ln w="34925">
                <a:noFill/>
                <a:prstDash val="solid"/>
                <a:round/>
              </a:ln>
            </c:spPr>
          </c:marker>
          <c:xVal>
            <c:numRef>
              <c:f>'[1]Strategy Region C4, D2'!$B$42:$B$102</c:f>
              <c:numCache>
                <c:formatCode>General</c:formatCode>
                <c:ptCount val="61"/>
                <c:pt idx="0">
                  <c:v>0.76</c:v>
                </c:pt>
                <c:pt idx="1">
                  <c:v>0.76</c:v>
                </c:pt>
                <c:pt idx="2">
                  <c:v>0.76</c:v>
                </c:pt>
                <c:pt idx="3">
                  <c:v>0.8</c:v>
                </c:pt>
                <c:pt idx="4">
                  <c:v>0.8</c:v>
                </c:pt>
                <c:pt idx="5">
                  <c:v>0.8</c:v>
                </c:pt>
                <c:pt idx="6">
                  <c:v>0.8</c:v>
                </c:pt>
                <c:pt idx="7">
                  <c:v>0.8</c:v>
                </c:pt>
                <c:pt idx="8">
                  <c:v>0.8</c:v>
                </c:pt>
                <c:pt idx="9">
                  <c:v>0.84</c:v>
                </c:pt>
                <c:pt idx="10">
                  <c:v>0.84</c:v>
                </c:pt>
                <c:pt idx="11">
                  <c:v>0.84</c:v>
                </c:pt>
                <c:pt idx="12">
                  <c:v>0.84</c:v>
                </c:pt>
                <c:pt idx="13">
                  <c:v>0.84</c:v>
                </c:pt>
                <c:pt idx="14">
                  <c:v>0.84</c:v>
                </c:pt>
                <c:pt idx="15">
                  <c:v>0.84</c:v>
                </c:pt>
                <c:pt idx="16">
                  <c:v>0.84</c:v>
                </c:pt>
                <c:pt idx="17">
                  <c:v>0.88</c:v>
                </c:pt>
                <c:pt idx="18">
                  <c:v>0.88</c:v>
                </c:pt>
                <c:pt idx="19">
                  <c:v>0.88</c:v>
                </c:pt>
                <c:pt idx="20">
                  <c:v>0.88</c:v>
                </c:pt>
                <c:pt idx="21">
                  <c:v>0.88</c:v>
                </c:pt>
                <c:pt idx="22">
                  <c:v>0.88</c:v>
                </c:pt>
                <c:pt idx="23">
                  <c:v>0.88</c:v>
                </c:pt>
                <c:pt idx="24">
                  <c:v>0.88</c:v>
                </c:pt>
                <c:pt idx="25">
                  <c:v>0.88</c:v>
                </c:pt>
                <c:pt idx="26">
                  <c:v>0.88</c:v>
                </c:pt>
                <c:pt idx="27">
                  <c:v>0.92</c:v>
                </c:pt>
                <c:pt idx="28">
                  <c:v>0.92</c:v>
                </c:pt>
                <c:pt idx="29">
                  <c:v>0.92</c:v>
                </c:pt>
                <c:pt idx="30">
                  <c:v>0.92</c:v>
                </c:pt>
                <c:pt idx="31">
                  <c:v>0.92</c:v>
                </c:pt>
                <c:pt idx="32">
                  <c:v>0.92</c:v>
                </c:pt>
                <c:pt idx="33">
                  <c:v>0.92</c:v>
                </c:pt>
                <c:pt idx="34">
                  <c:v>0.92</c:v>
                </c:pt>
                <c:pt idx="35">
                  <c:v>0.92</c:v>
                </c:pt>
                <c:pt idx="36">
                  <c:v>0.92</c:v>
                </c:pt>
                <c:pt idx="37">
                  <c:v>0.92</c:v>
                </c:pt>
                <c:pt idx="38">
                  <c:v>0.96</c:v>
                </c:pt>
                <c:pt idx="39">
                  <c:v>0.96</c:v>
                </c:pt>
                <c:pt idx="40">
                  <c:v>0.96</c:v>
                </c:pt>
                <c:pt idx="41">
                  <c:v>0.96</c:v>
                </c:pt>
                <c:pt idx="42">
                  <c:v>0.96</c:v>
                </c:pt>
                <c:pt idx="43">
                  <c:v>0.96</c:v>
                </c:pt>
                <c:pt idx="44">
                  <c:v>0.96</c:v>
                </c:pt>
                <c:pt idx="45">
                  <c:v>0.96</c:v>
                </c:pt>
                <c:pt idx="46">
                  <c:v>0.96</c:v>
                </c:pt>
                <c:pt idx="47">
                  <c:v>0.96</c:v>
                </c:pt>
                <c:pt idx="48">
                  <c:v>0.96</c:v>
                </c:pt>
                <c:pt idx="49">
                  <c:v>1</c:v>
                </c:pt>
                <c:pt idx="50">
                  <c:v>1</c:v>
                </c:pt>
                <c:pt idx="51">
                  <c:v>1</c:v>
                </c:pt>
                <c:pt idx="52">
                  <c:v>1</c:v>
                </c:pt>
                <c:pt idx="53">
                  <c:v>1</c:v>
                </c:pt>
                <c:pt idx="54">
                  <c:v>1</c:v>
                </c:pt>
                <c:pt idx="55">
                  <c:v>1</c:v>
                </c:pt>
                <c:pt idx="56">
                  <c:v>1</c:v>
                </c:pt>
                <c:pt idx="57">
                  <c:v>1</c:v>
                </c:pt>
                <c:pt idx="58">
                  <c:v>1</c:v>
                </c:pt>
                <c:pt idx="59">
                  <c:v>1</c:v>
                </c:pt>
              </c:numCache>
            </c:numRef>
          </c:xVal>
          <c:yVal>
            <c:numRef>
              <c:f>'[1]Strategy Region C4, D2'!$C$42:$C$102</c:f>
              <c:numCache>
                <c:formatCode>General</c:formatCode>
                <c:ptCount val="61"/>
                <c:pt idx="0">
                  <c:v>0.44999999999999996</c:v>
                </c:pt>
                <c:pt idx="1">
                  <c:v>0.48</c:v>
                </c:pt>
                <c:pt idx="2">
                  <c:v>0.51</c:v>
                </c:pt>
                <c:pt idx="3">
                  <c:v>0.44999999999999996</c:v>
                </c:pt>
                <c:pt idx="4">
                  <c:v>0.48</c:v>
                </c:pt>
                <c:pt idx="5">
                  <c:v>0.51</c:v>
                </c:pt>
                <c:pt idx="6">
                  <c:v>0.53999999999999992</c:v>
                </c:pt>
                <c:pt idx="7">
                  <c:v>0.56999999999999995</c:v>
                </c:pt>
                <c:pt idx="8">
                  <c:v>0.6</c:v>
                </c:pt>
                <c:pt idx="9">
                  <c:v>0.44999999999999996</c:v>
                </c:pt>
                <c:pt idx="10">
                  <c:v>0.48</c:v>
                </c:pt>
                <c:pt idx="11">
                  <c:v>0.51</c:v>
                </c:pt>
                <c:pt idx="12">
                  <c:v>0.53999999999999992</c:v>
                </c:pt>
                <c:pt idx="13">
                  <c:v>0.56999999999999995</c:v>
                </c:pt>
                <c:pt idx="14">
                  <c:v>0.6</c:v>
                </c:pt>
                <c:pt idx="15">
                  <c:v>0.63</c:v>
                </c:pt>
                <c:pt idx="16">
                  <c:v>0.66</c:v>
                </c:pt>
                <c:pt idx="17">
                  <c:v>0.44999999999999996</c:v>
                </c:pt>
                <c:pt idx="18">
                  <c:v>0.48</c:v>
                </c:pt>
                <c:pt idx="19">
                  <c:v>0.51</c:v>
                </c:pt>
                <c:pt idx="20">
                  <c:v>0.53999999999999992</c:v>
                </c:pt>
                <c:pt idx="21">
                  <c:v>0.56999999999999995</c:v>
                </c:pt>
                <c:pt idx="22">
                  <c:v>0.6</c:v>
                </c:pt>
                <c:pt idx="23">
                  <c:v>0.63</c:v>
                </c:pt>
                <c:pt idx="24">
                  <c:v>0.66</c:v>
                </c:pt>
                <c:pt idx="25">
                  <c:v>0.69</c:v>
                </c:pt>
                <c:pt idx="26">
                  <c:v>0.72</c:v>
                </c:pt>
                <c:pt idx="27">
                  <c:v>0.44999999999999996</c:v>
                </c:pt>
                <c:pt idx="28">
                  <c:v>0.48</c:v>
                </c:pt>
                <c:pt idx="29">
                  <c:v>0.51</c:v>
                </c:pt>
                <c:pt idx="30">
                  <c:v>0.53999999999999992</c:v>
                </c:pt>
                <c:pt idx="31">
                  <c:v>0.56999999999999995</c:v>
                </c:pt>
                <c:pt idx="32">
                  <c:v>0.6</c:v>
                </c:pt>
                <c:pt idx="33">
                  <c:v>0.63</c:v>
                </c:pt>
                <c:pt idx="34">
                  <c:v>0.66</c:v>
                </c:pt>
                <c:pt idx="35">
                  <c:v>0.69</c:v>
                </c:pt>
                <c:pt idx="36">
                  <c:v>0.72</c:v>
                </c:pt>
                <c:pt idx="37">
                  <c:v>0.75</c:v>
                </c:pt>
                <c:pt idx="38">
                  <c:v>0.44999999999999996</c:v>
                </c:pt>
                <c:pt idx="39">
                  <c:v>0.48</c:v>
                </c:pt>
                <c:pt idx="40">
                  <c:v>0.51</c:v>
                </c:pt>
                <c:pt idx="41">
                  <c:v>0.53999999999999992</c:v>
                </c:pt>
                <c:pt idx="42">
                  <c:v>0.56999999999999995</c:v>
                </c:pt>
                <c:pt idx="43">
                  <c:v>0.6</c:v>
                </c:pt>
                <c:pt idx="44">
                  <c:v>0.63</c:v>
                </c:pt>
                <c:pt idx="45">
                  <c:v>0.66</c:v>
                </c:pt>
                <c:pt idx="46">
                  <c:v>0.69</c:v>
                </c:pt>
                <c:pt idx="47">
                  <c:v>0.72</c:v>
                </c:pt>
                <c:pt idx="48">
                  <c:v>0.75</c:v>
                </c:pt>
                <c:pt idx="49">
                  <c:v>0.44999999999999996</c:v>
                </c:pt>
                <c:pt idx="50">
                  <c:v>0.48</c:v>
                </c:pt>
                <c:pt idx="51">
                  <c:v>0.51</c:v>
                </c:pt>
                <c:pt idx="52">
                  <c:v>0.53999999999999992</c:v>
                </c:pt>
                <c:pt idx="53">
                  <c:v>0.56999999999999995</c:v>
                </c:pt>
                <c:pt idx="54">
                  <c:v>0.6</c:v>
                </c:pt>
                <c:pt idx="55">
                  <c:v>0.63</c:v>
                </c:pt>
                <c:pt idx="56">
                  <c:v>0.66</c:v>
                </c:pt>
                <c:pt idx="57">
                  <c:v>0.69</c:v>
                </c:pt>
                <c:pt idx="58">
                  <c:v>0.72</c:v>
                </c:pt>
                <c:pt idx="59">
                  <c:v>0.75</c:v>
                </c:pt>
              </c:numCache>
            </c:numRef>
          </c:yVal>
          <c:smooth val="0"/>
        </c:ser>
        <c:ser>
          <c:idx val="1"/>
          <c:order val="1"/>
          <c:tx>
            <c:v>Don't Buy</c:v>
          </c:tx>
          <c:spPr>
            <a:ln w="19050">
              <a:noFill/>
            </a:ln>
          </c:spPr>
          <c:marker>
            <c:symbol val="triangle"/>
            <c:size val="10"/>
            <c:spPr>
              <a:solidFill>
                <a:srgbClr val="993366"/>
              </a:solidFill>
              <a:ln w="34925">
                <a:noFill/>
                <a:prstDash val="solid"/>
              </a:ln>
            </c:spPr>
          </c:marker>
          <c:xVal>
            <c:numRef>
              <c:f>'[1]Strategy Region C4, D2'!$D$42:$D$102</c:f>
              <c:numCache>
                <c:formatCode>General</c:formatCode>
                <c:ptCount val="61"/>
                <c:pt idx="0">
                  <c:v>0.6</c:v>
                </c:pt>
                <c:pt idx="1">
                  <c:v>0.6</c:v>
                </c:pt>
                <c:pt idx="2">
                  <c:v>0.6</c:v>
                </c:pt>
                <c:pt idx="3">
                  <c:v>0.6</c:v>
                </c:pt>
                <c:pt idx="4">
                  <c:v>0.6</c:v>
                </c:pt>
                <c:pt idx="5">
                  <c:v>0.6</c:v>
                </c:pt>
                <c:pt idx="6">
                  <c:v>0.6</c:v>
                </c:pt>
                <c:pt idx="7">
                  <c:v>0.6</c:v>
                </c:pt>
                <c:pt idx="8">
                  <c:v>0.6</c:v>
                </c:pt>
                <c:pt idx="9">
                  <c:v>0.6</c:v>
                </c:pt>
                <c:pt idx="10">
                  <c:v>0.6</c:v>
                </c:pt>
                <c:pt idx="11">
                  <c:v>0.64</c:v>
                </c:pt>
                <c:pt idx="12">
                  <c:v>0.64</c:v>
                </c:pt>
                <c:pt idx="13">
                  <c:v>0.64</c:v>
                </c:pt>
                <c:pt idx="14">
                  <c:v>0.64</c:v>
                </c:pt>
                <c:pt idx="15">
                  <c:v>0.64</c:v>
                </c:pt>
                <c:pt idx="16">
                  <c:v>0.64</c:v>
                </c:pt>
                <c:pt idx="17">
                  <c:v>0.64</c:v>
                </c:pt>
                <c:pt idx="18">
                  <c:v>0.64</c:v>
                </c:pt>
                <c:pt idx="19">
                  <c:v>0.64</c:v>
                </c:pt>
                <c:pt idx="20">
                  <c:v>0.64</c:v>
                </c:pt>
                <c:pt idx="21">
                  <c:v>0.64</c:v>
                </c:pt>
                <c:pt idx="22">
                  <c:v>0.67999999999999994</c:v>
                </c:pt>
                <c:pt idx="23">
                  <c:v>0.67999999999999994</c:v>
                </c:pt>
                <c:pt idx="24">
                  <c:v>0.67999999999999994</c:v>
                </c:pt>
                <c:pt idx="25">
                  <c:v>0.67999999999999994</c:v>
                </c:pt>
                <c:pt idx="26">
                  <c:v>0.67999999999999994</c:v>
                </c:pt>
                <c:pt idx="27">
                  <c:v>0.67999999999999994</c:v>
                </c:pt>
                <c:pt idx="28">
                  <c:v>0.67999999999999994</c:v>
                </c:pt>
                <c:pt idx="29">
                  <c:v>0.67999999999999994</c:v>
                </c:pt>
                <c:pt idx="30">
                  <c:v>0.67999999999999994</c:v>
                </c:pt>
                <c:pt idx="31">
                  <c:v>0.67999999999999994</c:v>
                </c:pt>
                <c:pt idx="32">
                  <c:v>0.67999999999999994</c:v>
                </c:pt>
                <c:pt idx="33">
                  <c:v>0.72</c:v>
                </c:pt>
                <c:pt idx="34">
                  <c:v>0.72</c:v>
                </c:pt>
                <c:pt idx="35">
                  <c:v>0.72</c:v>
                </c:pt>
                <c:pt idx="36">
                  <c:v>0.72</c:v>
                </c:pt>
                <c:pt idx="37">
                  <c:v>0.72</c:v>
                </c:pt>
                <c:pt idx="38">
                  <c:v>0.72</c:v>
                </c:pt>
                <c:pt idx="39">
                  <c:v>0.72</c:v>
                </c:pt>
                <c:pt idx="40">
                  <c:v>0.72</c:v>
                </c:pt>
                <c:pt idx="41">
                  <c:v>0.72</c:v>
                </c:pt>
                <c:pt idx="42">
                  <c:v>0.72</c:v>
                </c:pt>
                <c:pt idx="43">
                  <c:v>0.72</c:v>
                </c:pt>
                <c:pt idx="44">
                  <c:v>0.76</c:v>
                </c:pt>
                <c:pt idx="45">
                  <c:v>0.76</c:v>
                </c:pt>
                <c:pt idx="46">
                  <c:v>0.76</c:v>
                </c:pt>
                <c:pt idx="47">
                  <c:v>0.76</c:v>
                </c:pt>
                <c:pt idx="48">
                  <c:v>0.76</c:v>
                </c:pt>
                <c:pt idx="49">
                  <c:v>0.76</c:v>
                </c:pt>
                <c:pt idx="50">
                  <c:v>0.76</c:v>
                </c:pt>
                <c:pt idx="51">
                  <c:v>0.76</c:v>
                </c:pt>
                <c:pt idx="52">
                  <c:v>0.8</c:v>
                </c:pt>
                <c:pt idx="53">
                  <c:v>0.8</c:v>
                </c:pt>
                <c:pt idx="54">
                  <c:v>0.8</c:v>
                </c:pt>
                <c:pt idx="55">
                  <c:v>0.8</c:v>
                </c:pt>
                <c:pt idx="56">
                  <c:v>0.8</c:v>
                </c:pt>
                <c:pt idx="57">
                  <c:v>0.84</c:v>
                </c:pt>
                <c:pt idx="58">
                  <c:v>0.84</c:v>
                </c:pt>
                <c:pt idx="59">
                  <c:v>0.84</c:v>
                </c:pt>
                <c:pt idx="60">
                  <c:v>0.88</c:v>
                </c:pt>
              </c:numCache>
            </c:numRef>
          </c:xVal>
          <c:yVal>
            <c:numRef>
              <c:f>'[1]Strategy Region C4, D2'!$E$42:$E$102</c:f>
              <c:numCache>
                <c:formatCode>General</c:formatCode>
                <c:ptCount val="61"/>
                <c:pt idx="0">
                  <c:v>0.44999999999999996</c:v>
                </c:pt>
                <c:pt idx="1">
                  <c:v>0.48</c:v>
                </c:pt>
                <c:pt idx="2">
                  <c:v>0.51</c:v>
                </c:pt>
                <c:pt idx="3">
                  <c:v>0.53999999999999992</c:v>
                </c:pt>
                <c:pt idx="4">
                  <c:v>0.56999999999999995</c:v>
                </c:pt>
                <c:pt idx="5">
                  <c:v>0.6</c:v>
                </c:pt>
                <c:pt idx="6">
                  <c:v>0.63</c:v>
                </c:pt>
                <c:pt idx="7">
                  <c:v>0.66</c:v>
                </c:pt>
                <c:pt idx="8">
                  <c:v>0.69</c:v>
                </c:pt>
                <c:pt idx="9">
                  <c:v>0.72</c:v>
                </c:pt>
                <c:pt idx="10">
                  <c:v>0.75</c:v>
                </c:pt>
                <c:pt idx="11">
                  <c:v>0.44999999999999996</c:v>
                </c:pt>
                <c:pt idx="12">
                  <c:v>0.48</c:v>
                </c:pt>
                <c:pt idx="13">
                  <c:v>0.51</c:v>
                </c:pt>
                <c:pt idx="14">
                  <c:v>0.53999999999999992</c:v>
                </c:pt>
                <c:pt idx="15">
                  <c:v>0.56999999999999995</c:v>
                </c:pt>
                <c:pt idx="16">
                  <c:v>0.6</c:v>
                </c:pt>
                <c:pt idx="17">
                  <c:v>0.63</c:v>
                </c:pt>
                <c:pt idx="18">
                  <c:v>0.66</c:v>
                </c:pt>
                <c:pt idx="19">
                  <c:v>0.69</c:v>
                </c:pt>
                <c:pt idx="20">
                  <c:v>0.72</c:v>
                </c:pt>
                <c:pt idx="21">
                  <c:v>0.75</c:v>
                </c:pt>
                <c:pt idx="22">
                  <c:v>0.44999999999999996</c:v>
                </c:pt>
                <c:pt idx="23">
                  <c:v>0.48</c:v>
                </c:pt>
                <c:pt idx="24">
                  <c:v>0.51</c:v>
                </c:pt>
                <c:pt idx="25">
                  <c:v>0.53999999999999992</c:v>
                </c:pt>
                <c:pt idx="26">
                  <c:v>0.56999999999999995</c:v>
                </c:pt>
                <c:pt idx="27">
                  <c:v>0.6</c:v>
                </c:pt>
                <c:pt idx="28">
                  <c:v>0.63</c:v>
                </c:pt>
                <c:pt idx="29">
                  <c:v>0.66</c:v>
                </c:pt>
                <c:pt idx="30">
                  <c:v>0.69</c:v>
                </c:pt>
                <c:pt idx="31">
                  <c:v>0.72</c:v>
                </c:pt>
                <c:pt idx="32">
                  <c:v>0.75</c:v>
                </c:pt>
                <c:pt idx="33">
                  <c:v>0.44999999999999996</c:v>
                </c:pt>
                <c:pt idx="34">
                  <c:v>0.48</c:v>
                </c:pt>
                <c:pt idx="35">
                  <c:v>0.51</c:v>
                </c:pt>
                <c:pt idx="36">
                  <c:v>0.53999999999999992</c:v>
                </c:pt>
                <c:pt idx="37">
                  <c:v>0.56999999999999995</c:v>
                </c:pt>
                <c:pt idx="38">
                  <c:v>0.6</c:v>
                </c:pt>
                <c:pt idx="39">
                  <c:v>0.63</c:v>
                </c:pt>
                <c:pt idx="40">
                  <c:v>0.66</c:v>
                </c:pt>
                <c:pt idx="41">
                  <c:v>0.69</c:v>
                </c:pt>
                <c:pt idx="42">
                  <c:v>0.72</c:v>
                </c:pt>
                <c:pt idx="43">
                  <c:v>0.75</c:v>
                </c:pt>
                <c:pt idx="44">
                  <c:v>0.53999999999999992</c:v>
                </c:pt>
                <c:pt idx="45">
                  <c:v>0.56999999999999995</c:v>
                </c:pt>
                <c:pt idx="46">
                  <c:v>0.6</c:v>
                </c:pt>
                <c:pt idx="47">
                  <c:v>0.63</c:v>
                </c:pt>
                <c:pt idx="48">
                  <c:v>0.66</c:v>
                </c:pt>
                <c:pt idx="49">
                  <c:v>0.69</c:v>
                </c:pt>
                <c:pt idx="50">
                  <c:v>0.72</c:v>
                </c:pt>
                <c:pt idx="51">
                  <c:v>0.75</c:v>
                </c:pt>
                <c:pt idx="52">
                  <c:v>0.63</c:v>
                </c:pt>
                <c:pt idx="53">
                  <c:v>0.66</c:v>
                </c:pt>
                <c:pt idx="54">
                  <c:v>0.69</c:v>
                </c:pt>
                <c:pt idx="55">
                  <c:v>0.72</c:v>
                </c:pt>
                <c:pt idx="56">
                  <c:v>0.75</c:v>
                </c:pt>
                <c:pt idx="57">
                  <c:v>0.69</c:v>
                </c:pt>
                <c:pt idx="58">
                  <c:v>0.72</c:v>
                </c:pt>
                <c:pt idx="59">
                  <c:v>0.75</c:v>
                </c:pt>
                <c:pt idx="60">
                  <c:v>0.75</c:v>
                </c:pt>
              </c:numCache>
            </c:numRef>
          </c:yVal>
          <c:smooth val="0"/>
        </c:ser>
        <c:dLbls>
          <c:showLegendKey val="0"/>
          <c:showVal val="0"/>
          <c:showCatName val="0"/>
          <c:showSerName val="0"/>
          <c:showPercent val="0"/>
          <c:showBubbleSize val="0"/>
        </c:dLbls>
        <c:axId val="387179200"/>
        <c:axId val="387179592"/>
      </c:scatterChart>
      <c:valAx>
        <c:axId val="387179200"/>
        <c:scaling>
          <c:orientation val="minMax"/>
          <c:max val="1"/>
          <c:min val="0.55000000000000004"/>
        </c:scaling>
        <c:delete val="0"/>
        <c:axPos val="b"/>
        <c:title>
          <c:tx>
            <c:rich>
              <a:bodyPr/>
              <a:lstStyle/>
              <a:p>
                <a:pPr>
                  <a:defRPr sz="1050" b="1"/>
                </a:pPr>
                <a:r>
                  <a:rPr lang="en-US" sz="1050" b="1"/>
                  <a:t>P(Improve) (C4)</a:t>
                </a:r>
              </a:p>
            </c:rich>
          </c:tx>
          <c:layout>
            <c:manualLayout>
              <c:xMode val="edge"/>
              <c:yMode val="edge"/>
              <c:x val="0.37179483405695785"/>
              <c:y val="0.9449245901041049"/>
            </c:manualLayout>
          </c:layout>
          <c:overlay val="0"/>
        </c:title>
        <c:numFmt formatCode="[&gt;0.00001]0.0###%;[=0]0.0%;0.00E+00" sourceLinked="0"/>
        <c:majorTickMark val="out"/>
        <c:minorTickMark val="none"/>
        <c:tickLblPos val="nextTo"/>
        <c:txPr>
          <a:bodyPr rot="-5400000" vert="horz"/>
          <a:lstStyle/>
          <a:p>
            <a:pPr>
              <a:defRPr sz="1000" b="0"/>
            </a:pPr>
            <a:endParaRPr lang="en-US"/>
          </a:p>
        </c:txPr>
        <c:crossAx val="387179592"/>
        <c:crossesAt val="-1.0000000000000001E+300"/>
        <c:crossBetween val="midCat"/>
        <c:majorUnit val="4.9999999999999996E-2"/>
      </c:valAx>
      <c:valAx>
        <c:axId val="387179592"/>
        <c:scaling>
          <c:orientation val="minMax"/>
          <c:max val="0.75000000000000011"/>
          <c:min val="0.4"/>
        </c:scaling>
        <c:delete val="0"/>
        <c:axPos val="l"/>
        <c:title>
          <c:tx>
            <c:rich>
              <a:bodyPr/>
              <a:lstStyle/>
              <a:p>
                <a:pPr>
                  <a:defRPr sz="1050" b="1"/>
                </a:pPr>
                <a:r>
                  <a:rPr lang="en-US" sz="1050" b="1"/>
                  <a:t>P(Rival) (D2)</a:t>
                </a:r>
              </a:p>
            </c:rich>
          </c:tx>
          <c:layout/>
          <c:overlay val="0"/>
        </c:title>
        <c:numFmt formatCode="[&gt;0.00001]0.0###%;[=0]0.0%;0.00E+00" sourceLinked="0"/>
        <c:majorTickMark val="out"/>
        <c:minorTickMark val="none"/>
        <c:tickLblPos val="nextTo"/>
        <c:txPr>
          <a:bodyPr/>
          <a:lstStyle/>
          <a:p>
            <a:pPr>
              <a:defRPr sz="1000" b="0"/>
            </a:pPr>
            <a:endParaRPr lang="en-US"/>
          </a:p>
        </c:txPr>
        <c:crossAx val="387179200"/>
        <c:crossesAt val="-1.0000000000000001E+300"/>
        <c:crossBetween val="midCat"/>
        <c:majorUnit val="5.000000000000001E-2"/>
      </c:valAx>
    </c:plotArea>
    <c:legend>
      <c:legendPos val="r"/>
      <c:layout>
        <c:manualLayout>
          <c:xMode val="edge"/>
          <c:yMode val="edge"/>
          <c:x val="0.15055228493634554"/>
          <c:y val="7.6263355261357135E-2"/>
          <c:w val="0.16954117300757965"/>
          <c:h val="7.7252944772401716E-2"/>
        </c:manualLayout>
      </c:layout>
      <c:overlay val="0"/>
      <c:spPr>
        <a:solidFill>
          <a:schemeClr val="bg2"/>
        </a:solidFill>
        <a:ln w="25400">
          <a:noFill/>
        </a:ln>
        <a:effectLst>
          <a:outerShdw blurRad="114300" dist="114300" dir="2700000" algn="tl" rotWithShape="0">
            <a:prstClr val="black">
              <a:alpha val="40000"/>
            </a:prstClr>
          </a:outerShdw>
        </a:effectLst>
      </c:spPr>
      <c:txPr>
        <a:bodyPr/>
        <a:lstStyle/>
        <a:p>
          <a:pPr>
            <a:defRPr sz="1200"/>
          </a:pPr>
          <a:endParaRPr lang="en-US"/>
        </a:p>
      </c:txPr>
    </c:legend>
    <c:plotVisOnly val="1"/>
    <c:dispBlanksAs val="gap"/>
    <c:showDLblsOverMax val="0"/>
  </c:chart>
  <c:spPr>
    <a:ln w="25400"/>
  </c:sp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1"/>
            </a:pPr>
            <a:r>
              <a:rPr lang="en-US"/>
              <a:t>Sensitivity of Decision Tree 'WF Decision'</a:t>
            </a:r>
            <a:r>
              <a:rPr lang="en-US" sz="800" b="0" i="0" u="none" strike="noStrike" baseline="0">
                <a:solidFill>
                  <a:srgbClr val="000000"/>
                </a:solidFill>
                <a:latin typeface="+mn-lt"/>
                <a:ea typeface="+mn-lt"/>
                <a:cs typeface="+mn-lt"/>
              </a:rPr>
              <a:t>
Expected Value of Node 'Buy WF?' (B17) </a:t>
            </a:r>
            <a:endParaRPr lang="en-US"/>
          </a:p>
        </c:rich>
      </c:tx>
      <c:layout/>
      <c:overlay val="0"/>
    </c:title>
    <c:autoTitleDeleted val="0"/>
    <c:view3D>
      <c:rotX val="22"/>
      <c:rotY val="20"/>
      <c:rAngAx val="0"/>
      <c:perspective val="40"/>
    </c:view3D>
    <c:floor>
      <c:thickness val="0"/>
      <c:spPr>
        <a:noFill/>
      </c:spPr>
    </c:floor>
    <c:sideWall>
      <c:thickness val="0"/>
      <c:spPr>
        <a:noFill/>
      </c:spPr>
    </c:sideWall>
    <c:backWall>
      <c:thickness val="0"/>
      <c:spPr>
        <a:noFill/>
      </c:spPr>
    </c:backWall>
    <c:plotArea>
      <c:layout>
        <c:manualLayout>
          <c:layoutTarget val="inner"/>
          <c:xMode val="edge"/>
          <c:yMode val="edge"/>
          <c:x val="0.1237408933696372"/>
          <c:y val="0.10293172507550113"/>
          <c:w val="0.75156836411803662"/>
          <c:h val="0.77148547914708809"/>
        </c:manualLayout>
      </c:layout>
      <c:surface3DChart>
        <c:wireframe val="0"/>
        <c:ser>
          <c:idx val="0"/>
          <c:order val="0"/>
          <c:tx>
            <c:strRef>
              <c:f>'[1]Sensitivity C4, D2'!$C$43</c:f>
              <c:strCache>
                <c:ptCount val="1"/>
                <c:pt idx="0">
                  <c:v>0.45</c:v>
                </c:pt>
              </c:strCache>
            </c:strRef>
          </c:tx>
          <c:cat>
            <c:numRef>
              <c:f>'[1]Sensitivity C4, D2'!$D$42:$N$42</c:f>
              <c:numCache>
                <c:formatCode>General</c:formatCode>
                <c:ptCount val="11"/>
                <c:pt idx="0">
                  <c:v>0.6</c:v>
                </c:pt>
                <c:pt idx="1">
                  <c:v>0.64</c:v>
                </c:pt>
                <c:pt idx="2">
                  <c:v>0.67999999999999994</c:v>
                </c:pt>
                <c:pt idx="3">
                  <c:v>0.72</c:v>
                </c:pt>
                <c:pt idx="4">
                  <c:v>0.76</c:v>
                </c:pt>
                <c:pt idx="5">
                  <c:v>0.8</c:v>
                </c:pt>
                <c:pt idx="6">
                  <c:v>0.84</c:v>
                </c:pt>
                <c:pt idx="7">
                  <c:v>0.88</c:v>
                </c:pt>
                <c:pt idx="8">
                  <c:v>0.92</c:v>
                </c:pt>
                <c:pt idx="9">
                  <c:v>0.96</c:v>
                </c:pt>
                <c:pt idx="10">
                  <c:v>1</c:v>
                </c:pt>
              </c:numCache>
            </c:numRef>
          </c:cat>
          <c:val>
            <c:numRef>
              <c:f>'[1]Sensitivity C4, D2'!$D$43:$N$43</c:f>
              <c:numCache>
                <c:formatCode>General</c:formatCode>
                <c:ptCount val="11"/>
                <c:pt idx="0">
                  <c:v>6246.5172316973694</c:v>
                </c:pt>
                <c:pt idx="1">
                  <c:v>6246.5172316973694</c:v>
                </c:pt>
                <c:pt idx="2">
                  <c:v>6246.5172316973694</c:v>
                </c:pt>
                <c:pt idx="3">
                  <c:v>6246.5172316973694</c:v>
                </c:pt>
                <c:pt idx="4">
                  <c:v>6848.8439257516766</c:v>
                </c:pt>
                <c:pt idx="5">
                  <c:v>7469.7802530976041</c:v>
                </c:pt>
                <c:pt idx="6">
                  <c:v>8090.7165804435281</c:v>
                </c:pt>
                <c:pt idx="7">
                  <c:v>8711.6529077894538</c:v>
                </c:pt>
                <c:pt idx="8">
                  <c:v>9332.5892351353814</c:v>
                </c:pt>
                <c:pt idx="9">
                  <c:v>9953.5255624813035</c:v>
                </c:pt>
                <c:pt idx="10">
                  <c:v>10574.461889827231</c:v>
                </c:pt>
              </c:numCache>
            </c:numRef>
          </c:val>
        </c:ser>
        <c:ser>
          <c:idx val="1"/>
          <c:order val="1"/>
          <c:tx>
            <c:strRef>
              <c:f>'[1]Sensitivity C4, D2'!$C$44</c:f>
              <c:strCache>
                <c:ptCount val="1"/>
                <c:pt idx="0">
                  <c:v>0.48</c:v>
                </c:pt>
              </c:strCache>
            </c:strRef>
          </c:tx>
          <c:cat>
            <c:numRef>
              <c:f>'[1]Sensitivity C4, D2'!$D$42:$N$42</c:f>
              <c:numCache>
                <c:formatCode>General</c:formatCode>
                <c:ptCount val="11"/>
                <c:pt idx="0">
                  <c:v>0.6</c:v>
                </c:pt>
                <c:pt idx="1">
                  <c:v>0.64</c:v>
                </c:pt>
                <c:pt idx="2">
                  <c:v>0.67999999999999994</c:v>
                </c:pt>
                <c:pt idx="3">
                  <c:v>0.72</c:v>
                </c:pt>
                <c:pt idx="4">
                  <c:v>0.76</c:v>
                </c:pt>
                <c:pt idx="5">
                  <c:v>0.8</c:v>
                </c:pt>
                <c:pt idx="6">
                  <c:v>0.84</c:v>
                </c:pt>
                <c:pt idx="7">
                  <c:v>0.88</c:v>
                </c:pt>
                <c:pt idx="8">
                  <c:v>0.92</c:v>
                </c:pt>
                <c:pt idx="9">
                  <c:v>0.96</c:v>
                </c:pt>
                <c:pt idx="10">
                  <c:v>1</c:v>
                </c:pt>
              </c:numCache>
            </c:numRef>
          </c:cat>
          <c:val>
            <c:numRef>
              <c:f>'[1]Sensitivity C4, D2'!$D$44:$N$44</c:f>
              <c:numCache>
                <c:formatCode>General</c:formatCode>
                <c:ptCount val="11"/>
                <c:pt idx="0">
                  <c:v>6246.5172316973694</c:v>
                </c:pt>
                <c:pt idx="1">
                  <c:v>6246.5172316973694</c:v>
                </c:pt>
                <c:pt idx="2">
                  <c:v>6246.5172316973694</c:v>
                </c:pt>
                <c:pt idx="3">
                  <c:v>6246.5172316973694</c:v>
                </c:pt>
                <c:pt idx="4">
                  <c:v>6621.0988609749111</c:v>
                </c:pt>
                <c:pt idx="5">
                  <c:v>7233.9888297691659</c:v>
                </c:pt>
                <c:pt idx="6">
                  <c:v>7846.8787985634171</c:v>
                </c:pt>
                <c:pt idx="7">
                  <c:v>8459.7687673576729</c:v>
                </c:pt>
                <c:pt idx="8">
                  <c:v>9072.6587361519269</c:v>
                </c:pt>
                <c:pt idx="9">
                  <c:v>9685.5487049461808</c:v>
                </c:pt>
                <c:pt idx="10">
                  <c:v>10298.438673740435</c:v>
                </c:pt>
              </c:numCache>
            </c:numRef>
          </c:val>
        </c:ser>
        <c:ser>
          <c:idx val="2"/>
          <c:order val="2"/>
          <c:tx>
            <c:strRef>
              <c:f>'[1]Sensitivity C4, D2'!$C$45</c:f>
              <c:strCache>
                <c:ptCount val="1"/>
                <c:pt idx="0">
                  <c:v>0.51</c:v>
                </c:pt>
              </c:strCache>
            </c:strRef>
          </c:tx>
          <c:cat>
            <c:numRef>
              <c:f>'[1]Sensitivity C4, D2'!$D$42:$N$42</c:f>
              <c:numCache>
                <c:formatCode>General</c:formatCode>
                <c:ptCount val="11"/>
                <c:pt idx="0">
                  <c:v>0.6</c:v>
                </c:pt>
                <c:pt idx="1">
                  <c:v>0.64</c:v>
                </c:pt>
                <c:pt idx="2">
                  <c:v>0.67999999999999994</c:v>
                </c:pt>
                <c:pt idx="3">
                  <c:v>0.72</c:v>
                </c:pt>
                <c:pt idx="4">
                  <c:v>0.76</c:v>
                </c:pt>
                <c:pt idx="5">
                  <c:v>0.8</c:v>
                </c:pt>
                <c:pt idx="6">
                  <c:v>0.84</c:v>
                </c:pt>
                <c:pt idx="7">
                  <c:v>0.88</c:v>
                </c:pt>
                <c:pt idx="8">
                  <c:v>0.92</c:v>
                </c:pt>
                <c:pt idx="9">
                  <c:v>0.96</c:v>
                </c:pt>
                <c:pt idx="10">
                  <c:v>1</c:v>
                </c:pt>
              </c:numCache>
            </c:numRef>
          </c:cat>
          <c:val>
            <c:numRef>
              <c:f>'[1]Sensitivity C4, D2'!$D$45:$N$45</c:f>
              <c:numCache>
                <c:formatCode>General</c:formatCode>
                <c:ptCount val="11"/>
                <c:pt idx="0">
                  <c:v>6246.5172316973694</c:v>
                </c:pt>
                <c:pt idx="1">
                  <c:v>6246.5172316973694</c:v>
                </c:pt>
                <c:pt idx="2">
                  <c:v>6246.5172316973694</c:v>
                </c:pt>
                <c:pt idx="3">
                  <c:v>6246.5172316973694</c:v>
                </c:pt>
                <c:pt idx="4">
                  <c:v>6393.3537961981447</c:v>
                </c:pt>
                <c:pt idx="5">
                  <c:v>6998.1974064407268</c:v>
                </c:pt>
                <c:pt idx="6">
                  <c:v>7603.041016683308</c:v>
                </c:pt>
                <c:pt idx="7">
                  <c:v>8207.8846269258902</c:v>
                </c:pt>
                <c:pt idx="8">
                  <c:v>8812.7282371684742</c:v>
                </c:pt>
                <c:pt idx="9">
                  <c:v>9417.5718474110563</c:v>
                </c:pt>
                <c:pt idx="10">
                  <c:v>10022.415457653638</c:v>
                </c:pt>
              </c:numCache>
            </c:numRef>
          </c:val>
        </c:ser>
        <c:ser>
          <c:idx val="3"/>
          <c:order val="3"/>
          <c:tx>
            <c:strRef>
              <c:f>'[1]Sensitivity C4, D2'!$C$46</c:f>
              <c:strCache>
                <c:ptCount val="1"/>
                <c:pt idx="0">
                  <c:v>0.54</c:v>
                </c:pt>
              </c:strCache>
            </c:strRef>
          </c:tx>
          <c:cat>
            <c:numRef>
              <c:f>'[1]Sensitivity C4, D2'!$D$42:$N$42</c:f>
              <c:numCache>
                <c:formatCode>General</c:formatCode>
                <c:ptCount val="11"/>
                <c:pt idx="0">
                  <c:v>0.6</c:v>
                </c:pt>
                <c:pt idx="1">
                  <c:v>0.64</c:v>
                </c:pt>
                <c:pt idx="2">
                  <c:v>0.67999999999999994</c:v>
                </c:pt>
                <c:pt idx="3">
                  <c:v>0.72</c:v>
                </c:pt>
                <c:pt idx="4">
                  <c:v>0.76</c:v>
                </c:pt>
                <c:pt idx="5">
                  <c:v>0.8</c:v>
                </c:pt>
                <c:pt idx="6">
                  <c:v>0.84</c:v>
                </c:pt>
                <c:pt idx="7">
                  <c:v>0.88</c:v>
                </c:pt>
                <c:pt idx="8">
                  <c:v>0.92</c:v>
                </c:pt>
                <c:pt idx="9">
                  <c:v>0.96</c:v>
                </c:pt>
                <c:pt idx="10">
                  <c:v>1</c:v>
                </c:pt>
              </c:numCache>
            </c:numRef>
          </c:cat>
          <c:val>
            <c:numRef>
              <c:f>'[1]Sensitivity C4, D2'!$D$46:$N$46</c:f>
              <c:numCache>
                <c:formatCode>General</c:formatCode>
                <c:ptCount val="11"/>
                <c:pt idx="0">
                  <c:v>6246.5172316973694</c:v>
                </c:pt>
                <c:pt idx="1">
                  <c:v>6246.5172316973694</c:v>
                </c:pt>
                <c:pt idx="2">
                  <c:v>6246.5172316973694</c:v>
                </c:pt>
                <c:pt idx="3">
                  <c:v>6246.5172316973694</c:v>
                </c:pt>
                <c:pt idx="4">
                  <c:v>6246.5172316973694</c:v>
                </c:pt>
                <c:pt idx="5">
                  <c:v>6762.4059831122895</c:v>
                </c:pt>
                <c:pt idx="6">
                  <c:v>7359.2032348031989</c:v>
                </c:pt>
                <c:pt idx="7">
                  <c:v>7956.0004864941102</c:v>
                </c:pt>
                <c:pt idx="8">
                  <c:v>8552.7977381850214</c:v>
                </c:pt>
                <c:pt idx="9">
                  <c:v>9149.59498987593</c:v>
                </c:pt>
                <c:pt idx="10">
                  <c:v>9746.3922415668421</c:v>
                </c:pt>
              </c:numCache>
            </c:numRef>
          </c:val>
        </c:ser>
        <c:ser>
          <c:idx val="4"/>
          <c:order val="4"/>
          <c:tx>
            <c:strRef>
              <c:f>'[1]Sensitivity C4, D2'!$C$47</c:f>
              <c:strCache>
                <c:ptCount val="1"/>
                <c:pt idx="0">
                  <c:v>0.57</c:v>
                </c:pt>
              </c:strCache>
            </c:strRef>
          </c:tx>
          <c:cat>
            <c:numRef>
              <c:f>'[1]Sensitivity C4, D2'!$D$42:$N$42</c:f>
              <c:numCache>
                <c:formatCode>General</c:formatCode>
                <c:ptCount val="11"/>
                <c:pt idx="0">
                  <c:v>0.6</c:v>
                </c:pt>
                <c:pt idx="1">
                  <c:v>0.64</c:v>
                </c:pt>
                <c:pt idx="2">
                  <c:v>0.67999999999999994</c:v>
                </c:pt>
                <c:pt idx="3">
                  <c:v>0.72</c:v>
                </c:pt>
                <c:pt idx="4">
                  <c:v>0.76</c:v>
                </c:pt>
                <c:pt idx="5">
                  <c:v>0.8</c:v>
                </c:pt>
                <c:pt idx="6">
                  <c:v>0.84</c:v>
                </c:pt>
                <c:pt idx="7">
                  <c:v>0.88</c:v>
                </c:pt>
                <c:pt idx="8">
                  <c:v>0.92</c:v>
                </c:pt>
                <c:pt idx="9">
                  <c:v>0.96</c:v>
                </c:pt>
                <c:pt idx="10">
                  <c:v>1</c:v>
                </c:pt>
              </c:numCache>
            </c:numRef>
          </c:cat>
          <c:val>
            <c:numRef>
              <c:f>'[1]Sensitivity C4, D2'!$D$47:$N$47</c:f>
              <c:numCache>
                <c:formatCode>General</c:formatCode>
                <c:ptCount val="11"/>
                <c:pt idx="0">
                  <c:v>6246.5172316973694</c:v>
                </c:pt>
                <c:pt idx="1">
                  <c:v>6246.5172316973694</c:v>
                </c:pt>
                <c:pt idx="2">
                  <c:v>6246.5172316973694</c:v>
                </c:pt>
                <c:pt idx="3">
                  <c:v>6246.5172316973694</c:v>
                </c:pt>
                <c:pt idx="4">
                  <c:v>6246.5172316973694</c:v>
                </c:pt>
                <c:pt idx="5">
                  <c:v>6526.6145597838504</c:v>
                </c:pt>
                <c:pt idx="6">
                  <c:v>7115.365452923088</c:v>
                </c:pt>
                <c:pt idx="7">
                  <c:v>7704.1163460623284</c:v>
                </c:pt>
                <c:pt idx="8">
                  <c:v>8292.8672392015669</c:v>
                </c:pt>
                <c:pt idx="9">
                  <c:v>8881.6181323408036</c:v>
                </c:pt>
                <c:pt idx="10">
                  <c:v>9470.369025480044</c:v>
                </c:pt>
              </c:numCache>
            </c:numRef>
          </c:val>
        </c:ser>
        <c:ser>
          <c:idx val="5"/>
          <c:order val="5"/>
          <c:tx>
            <c:strRef>
              <c:f>'[1]Sensitivity C4, D2'!$C$48</c:f>
              <c:strCache>
                <c:ptCount val="1"/>
                <c:pt idx="0">
                  <c:v>0.6</c:v>
                </c:pt>
              </c:strCache>
            </c:strRef>
          </c:tx>
          <c:cat>
            <c:numRef>
              <c:f>'[1]Sensitivity C4, D2'!$D$42:$N$42</c:f>
              <c:numCache>
                <c:formatCode>General</c:formatCode>
                <c:ptCount val="11"/>
                <c:pt idx="0">
                  <c:v>0.6</c:v>
                </c:pt>
                <c:pt idx="1">
                  <c:v>0.64</c:v>
                </c:pt>
                <c:pt idx="2">
                  <c:v>0.67999999999999994</c:v>
                </c:pt>
                <c:pt idx="3">
                  <c:v>0.72</c:v>
                </c:pt>
                <c:pt idx="4">
                  <c:v>0.76</c:v>
                </c:pt>
                <c:pt idx="5">
                  <c:v>0.8</c:v>
                </c:pt>
                <c:pt idx="6">
                  <c:v>0.84</c:v>
                </c:pt>
                <c:pt idx="7">
                  <c:v>0.88</c:v>
                </c:pt>
                <c:pt idx="8">
                  <c:v>0.92</c:v>
                </c:pt>
                <c:pt idx="9">
                  <c:v>0.96</c:v>
                </c:pt>
                <c:pt idx="10">
                  <c:v>1</c:v>
                </c:pt>
              </c:numCache>
            </c:numRef>
          </c:cat>
          <c:val>
            <c:numRef>
              <c:f>'[1]Sensitivity C4, D2'!$D$48:$N$48</c:f>
              <c:numCache>
                <c:formatCode>General</c:formatCode>
                <c:ptCount val="11"/>
                <c:pt idx="0">
                  <c:v>6246.5172316973694</c:v>
                </c:pt>
                <c:pt idx="1">
                  <c:v>6246.5172316973694</c:v>
                </c:pt>
                <c:pt idx="2">
                  <c:v>6246.5172316973694</c:v>
                </c:pt>
                <c:pt idx="3">
                  <c:v>6246.5172316973694</c:v>
                </c:pt>
                <c:pt idx="4">
                  <c:v>6246.5172316973694</c:v>
                </c:pt>
                <c:pt idx="5">
                  <c:v>6290.8231364554122</c:v>
                </c:pt>
                <c:pt idx="6">
                  <c:v>6871.527671042978</c:v>
                </c:pt>
                <c:pt idx="7">
                  <c:v>7452.2322056305456</c:v>
                </c:pt>
                <c:pt idx="8">
                  <c:v>8032.9367402181142</c:v>
                </c:pt>
                <c:pt idx="9">
                  <c:v>8613.641274805681</c:v>
                </c:pt>
                <c:pt idx="10">
                  <c:v>9194.3458093932477</c:v>
                </c:pt>
              </c:numCache>
            </c:numRef>
          </c:val>
        </c:ser>
        <c:ser>
          <c:idx val="6"/>
          <c:order val="6"/>
          <c:tx>
            <c:strRef>
              <c:f>'[1]Sensitivity C4, D2'!$C$49</c:f>
              <c:strCache>
                <c:ptCount val="1"/>
                <c:pt idx="0">
                  <c:v>0.63</c:v>
                </c:pt>
              </c:strCache>
            </c:strRef>
          </c:tx>
          <c:cat>
            <c:numRef>
              <c:f>'[1]Sensitivity C4, D2'!$D$42:$N$42</c:f>
              <c:numCache>
                <c:formatCode>General</c:formatCode>
                <c:ptCount val="11"/>
                <c:pt idx="0">
                  <c:v>0.6</c:v>
                </c:pt>
                <c:pt idx="1">
                  <c:v>0.64</c:v>
                </c:pt>
                <c:pt idx="2">
                  <c:v>0.67999999999999994</c:v>
                </c:pt>
                <c:pt idx="3">
                  <c:v>0.72</c:v>
                </c:pt>
                <c:pt idx="4">
                  <c:v>0.76</c:v>
                </c:pt>
                <c:pt idx="5">
                  <c:v>0.8</c:v>
                </c:pt>
                <c:pt idx="6">
                  <c:v>0.84</c:v>
                </c:pt>
                <c:pt idx="7">
                  <c:v>0.88</c:v>
                </c:pt>
                <c:pt idx="8">
                  <c:v>0.92</c:v>
                </c:pt>
                <c:pt idx="9">
                  <c:v>0.96</c:v>
                </c:pt>
                <c:pt idx="10">
                  <c:v>1</c:v>
                </c:pt>
              </c:numCache>
            </c:numRef>
          </c:cat>
          <c:val>
            <c:numRef>
              <c:f>'[1]Sensitivity C4, D2'!$D$49:$N$49</c:f>
              <c:numCache>
                <c:formatCode>General</c:formatCode>
                <c:ptCount val="11"/>
                <c:pt idx="0">
                  <c:v>6246.5172316973694</c:v>
                </c:pt>
                <c:pt idx="1">
                  <c:v>6246.5172316973694</c:v>
                </c:pt>
                <c:pt idx="2">
                  <c:v>6246.5172316973694</c:v>
                </c:pt>
                <c:pt idx="3">
                  <c:v>6246.5172316973694</c:v>
                </c:pt>
                <c:pt idx="4">
                  <c:v>6246.5172316973694</c:v>
                </c:pt>
                <c:pt idx="5">
                  <c:v>6246.5172316973694</c:v>
                </c:pt>
                <c:pt idx="6">
                  <c:v>6627.6898891628671</c:v>
                </c:pt>
                <c:pt idx="7">
                  <c:v>7200.3480651987629</c:v>
                </c:pt>
                <c:pt idx="8">
                  <c:v>7773.0062412346588</c:v>
                </c:pt>
                <c:pt idx="9">
                  <c:v>8345.6644172705546</c:v>
                </c:pt>
                <c:pt idx="10">
                  <c:v>8918.3225933064496</c:v>
                </c:pt>
              </c:numCache>
            </c:numRef>
          </c:val>
        </c:ser>
        <c:ser>
          <c:idx val="7"/>
          <c:order val="7"/>
          <c:tx>
            <c:strRef>
              <c:f>'[1]Sensitivity C4, D2'!$C$50</c:f>
              <c:strCache>
                <c:ptCount val="1"/>
                <c:pt idx="0">
                  <c:v>0.66</c:v>
                </c:pt>
              </c:strCache>
            </c:strRef>
          </c:tx>
          <c:cat>
            <c:numRef>
              <c:f>'[1]Sensitivity C4, D2'!$D$42:$N$42</c:f>
              <c:numCache>
                <c:formatCode>General</c:formatCode>
                <c:ptCount val="11"/>
                <c:pt idx="0">
                  <c:v>0.6</c:v>
                </c:pt>
                <c:pt idx="1">
                  <c:v>0.64</c:v>
                </c:pt>
                <c:pt idx="2">
                  <c:v>0.67999999999999994</c:v>
                </c:pt>
                <c:pt idx="3">
                  <c:v>0.72</c:v>
                </c:pt>
                <c:pt idx="4">
                  <c:v>0.76</c:v>
                </c:pt>
                <c:pt idx="5">
                  <c:v>0.8</c:v>
                </c:pt>
                <c:pt idx="6">
                  <c:v>0.84</c:v>
                </c:pt>
                <c:pt idx="7">
                  <c:v>0.88</c:v>
                </c:pt>
                <c:pt idx="8">
                  <c:v>0.92</c:v>
                </c:pt>
                <c:pt idx="9">
                  <c:v>0.96</c:v>
                </c:pt>
                <c:pt idx="10">
                  <c:v>1</c:v>
                </c:pt>
              </c:numCache>
            </c:numRef>
          </c:cat>
          <c:val>
            <c:numRef>
              <c:f>'[1]Sensitivity C4, D2'!$D$50:$N$50</c:f>
              <c:numCache>
                <c:formatCode>General</c:formatCode>
                <c:ptCount val="11"/>
                <c:pt idx="0">
                  <c:v>6246.5172316973694</c:v>
                </c:pt>
                <c:pt idx="1">
                  <c:v>6246.5172316973694</c:v>
                </c:pt>
                <c:pt idx="2">
                  <c:v>6246.5172316973694</c:v>
                </c:pt>
                <c:pt idx="3">
                  <c:v>6246.5172316973694</c:v>
                </c:pt>
                <c:pt idx="4">
                  <c:v>6246.5172316973694</c:v>
                </c:pt>
                <c:pt idx="5">
                  <c:v>6246.5172316973694</c:v>
                </c:pt>
                <c:pt idx="6">
                  <c:v>6383.852107282758</c:v>
                </c:pt>
                <c:pt idx="7">
                  <c:v>6948.463924766982</c:v>
                </c:pt>
                <c:pt idx="8">
                  <c:v>7513.0757422512061</c:v>
                </c:pt>
                <c:pt idx="9">
                  <c:v>8077.6875597354292</c:v>
                </c:pt>
                <c:pt idx="10">
                  <c:v>8642.2993772196533</c:v>
                </c:pt>
              </c:numCache>
            </c:numRef>
          </c:val>
        </c:ser>
        <c:ser>
          <c:idx val="8"/>
          <c:order val="8"/>
          <c:tx>
            <c:strRef>
              <c:f>'[1]Sensitivity C4, D2'!$C$51</c:f>
              <c:strCache>
                <c:ptCount val="1"/>
                <c:pt idx="0">
                  <c:v>0.69</c:v>
                </c:pt>
              </c:strCache>
            </c:strRef>
          </c:tx>
          <c:cat>
            <c:numRef>
              <c:f>'[1]Sensitivity C4, D2'!$D$42:$N$42</c:f>
              <c:numCache>
                <c:formatCode>General</c:formatCode>
                <c:ptCount val="11"/>
                <c:pt idx="0">
                  <c:v>0.6</c:v>
                </c:pt>
                <c:pt idx="1">
                  <c:v>0.64</c:v>
                </c:pt>
                <c:pt idx="2">
                  <c:v>0.67999999999999994</c:v>
                </c:pt>
                <c:pt idx="3">
                  <c:v>0.72</c:v>
                </c:pt>
                <c:pt idx="4">
                  <c:v>0.76</c:v>
                </c:pt>
                <c:pt idx="5">
                  <c:v>0.8</c:v>
                </c:pt>
                <c:pt idx="6">
                  <c:v>0.84</c:v>
                </c:pt>
                <c:pt idx="7">
                  <c:v>0.88</c:v>
                </c:pt>
                <c:pt idx="8">
                  <c:v>0.92</c:v>
                </c:pt>
                <c:pt idx="9">
                  <c:v>0.96</c:v>
                </c:pt>
                <c:pt idx="10">
                  <c:v>1</c:v>
                </c:pt>
              </c:numCache>
            </c:numRef>
          </c:cat>
          <c:val>
            <c:numRef>
              <c:f>'[1]Sensitivity C4, D2'!$D$51:$N$51</c:f>
              <c:numCache>
                <c:formatCode>General</c:formatCode>
                <c:ptCount val="11"/>
                <c:pt idx="0">
                  <c:v>6246.5172316973694</c:v>
                </c:pt>
                <c:pt idx="1">
                  <c:v>6246.5172316973694</c:v>
                </c:pt>
                <c:pt idx="2">
                  <c:v>6246.5172316973694</c:v>
                </c:pt>
                <c:pt idx="3">
                  <c:v>6246.5172316973694</c:v>
                </c:pt>
                <c:pt idx="4">
                  <c:v>6246.5172316973694</c:v>
                </c:pt>
                <c:pt idx="5">
                  <c:v>6246.5172316973694</c:v>
                </c:pt>
                <c:pt idx="6">
                  <c:v>6246.5172316973694</c:v>
                </c:pt>
                <c:pt idx="7">
                  <c:v>6696.5797843352002</c:v>
                </c:pt>
                <c:pt idx="8">
                  <c:v>7253.1452432677534</c:v>
                </c:pt>
                <c:pt idx="9">
                  <c:v>7809.7107022003038</c:v>
                </c:pt>
                <c:pt idx="10">
                  <c:v>8366.2761611328569</c:v>
                </c:pt>
              </c:numCache>
            </c:numRef>
          </c:val>
        </c:ser>
        <c:ser>
          <c:idx val="9"/>
          <c:order val="9"/>
          <c:tx>
            <c:strRef>
              <c:f>'[1]Sensitivity C4, D2'!$C$52</c:f>
              <c:strCache>
                <c:ptCount val="1"/>
                <c:pt idx="0">
                  <c:v>0.72</c:v>
                </c:pt>
              </c:strCache>
            </c:strRef>
          </c:tx>
          <c:cat>
            <c:numRef>
              <c:f>'[1]Sensitivity C4, D2'!$D$42:$N$42</c:f>
              <c:numCache>
                <c:formatCode>General</c:formatCode>
                <c:ptCount val="11"/>
                <c:pt idx="0">
                  <c:v>0.6</c:v>
                </c:pt>
                <c:pt idx="1">
                  <c:v>0.64</c:v>
                </c:pt>
                <c:pt idx="2">
                  <c:v>0.67999999999999994</c:v>
                </c:pt>
                <c:pt idx="3">
                  <c:v>0.72</c:v>
                </c:pt>
                <c:pt idx="4">
                  <c:v>0.76</c:v>
                </c:pt>
                <c:pt idx="5">
                  <c:v>0.8</c:v>
                </c:pt>
                <c:pt idx="6">
                  <c:v>0.84</c:v>
                </c:pt>
                <c:pt idx="7">
                  <c:v>0.88</c:v>
                </c:pt>
                <c:pt idx="8">
                  <c:v>0.92</c:v>
                </c:pt>
                <c:pt idx="9">
                  <c:v>0.96</c:v>
                </c:pt>
                <c:pt idx="10">
                  <c:v>1</c:v>
                </c:pt>
              </c:numCache>
            </c:numRef>
          </c:cat>
          <c:val>
            <c:numRef>
              <c:f>'[1]Sensitivity C4, D2'!$D$52:$N$52</c:f>
              <c:numCache>
                <c:formatCode>General</c:formatCode>
                <c:ptCount val="11"/>
                <c:pt idx="0">
                  <c:v>6246.5172316973694</c:v>
                </c:pt>
                <c:pt idx="1">
                  <c:v>6246.5172316973694</c:v>
                </c:pt>
                <c:pt idx="2">
                  <c:v>6246.5172316973694</c:v>
                </c:pt>
                <c:pt idx="3">
                  <c:v>6246.5172316973694</c:v>
                </c:pt>
                <c:pt idx="4">
                  <c:v>6246.5172316973694</c:v>
                </c:pt>
                <c:pt idx="5">
                  <c:v>6246.5172316973694</c:v>
                </c:pt>
                <c:pt idx="6">
                  <c:v>6246.5172316973694</c:v>
                </c:pt>
                <c:pt idx="7">
                  <c:v>6444.6956439034184</c:v>
                </c:pt>
                <c:pt idx="8">
                  <c:v>6993.2147442842988</c:v>
                </c:pt>
                <c:pt idx="9">
                  <c:v>7541.7338446651784</c:v>
                </c:pt>
                <c:pt idx="10">
                  <c:v>8090.2529450460588</c:v>
                </c:pt>
              </c:numCache>
            </c:numRef>
          </c:val>
        </c:ser>
        <c:ser>
          <c:idx val="10"/>
          <c:order val="10"/>
          <c:tx>
            <c:strRef>
              <c:f>'[1]Sensitivity C4, D2'!$C$53</c:f>
              <c:strCache>
                <c:ptCount val="1"/>
                <c:pt idx="0">
                  <c:v>0.75</c:v>
                </c:pt>
              </c:strCache>
            </c:strRef>
          </c:tx>
          <c:cat>
            <c:numRef>
              <c:f>'[1]Sensitivity C4, D2'!$D$42:$N$42</c:f>
              <c:numCache>
                <c:formatCode>General</c:formatCode>
                <c:ptCount val="11"/>
                <c:pt idx="0">
                  <c:v>0.6</c:v>
                </c:pt>
                <c:pt idx="1">
                  <c:v>0.64</c:v>
                </c:pt>
                <c:pt idx="2">
                  <c:v>0.67999999999999994</c:v>
                </c:pt>
                <c:pt idx="3">
                  <c:v>0.72</c:v>
                </c:pt>
                <c:pt idx="4">
                  <c:v>0.76</c:v>
                </c:pt>
                <c:pt idx="5">
                  <c:v>0.8</c:v>
                </c:pt>
                <c:pt idx="6">
                  <c:v>0.84</c:v>
                </c:pt>
                <c:pt idx="7">
                  <c:v>0.88</c:v>
                </c:pt>
                <c:pt idx="8">
                  <c:v>0.92</c:v>
                </c:pt>
                <c:pt idx="9">
                  <c:v>0.96</c:v>
                </c:pt>
                <c:pt idx="10">
                  <c:v>1</c:v>
                </c:pt>
              </c:numCache>
            </c:numRef>
          </c:cat>
          <c:val>
            <c:numRef>
              <c:f>'[1]Sensitivity C4, D2'!$D$53:$N$53</c:f>
              <c:numCache>
                <c:formatCode>General</c:formatCode>
                <c:ptCount val="11"/>
                <c:pt idx="0">
                  <c:v>6246.5172316973694</c:v>
                </c:pt>
                <c:pt idx="1">
                  <c:v>6246.5172316973694</c:v>
                </c:pt>
                <c:pt idx="2">
                  <c:v>6246.5172316973694</c:v>
                </c:pt>
                <c:pt idx="3">
                  <c:v>6246.5172316973694</c:v>
                </c:pt>
                <c:pt idx="4">
                  <c:v>6246.5172316973694</c:v>
                </c:pt>
                <c:pt idx="5">
                  <c:v>6246.5172316973694</c:v>
                </c:pt>
                <c:pt idx="6">
                  <c:v>6246.5172316973694</c:v>
                </c:pt>
                <c:pt idx="7">
                  <c:v>6246.5172316973694</c:v>
                </c:pt>
                <c:pt idx="8">
                  <c:v>6733.2842453008452</c:v>
                </c:pt>
                <c:pt idx="9">
                  <c:v>7273.756987130052</c:v>
                </c:pt>
                <c:pt idx="10">
                  <c:v>7814.2297289592616</c:v>
                </c:pt>
              </c:numCache>
            </c:numRef>
          </c:val>
        </c:ser>
        <c:bandFmts>
          <c:bandFmt>
            <c:idx val="0"/>
            <c:spPr>
              <a:solidFill>
                <a:srgbClr val="3366FF"/>
              </a:solidFill>
              <a:ln>
                <a:solidFill>
                  <a:srgbClr val="C0C0C0"/>
                </a:solidFill>
                <a:prstDash val="solid"/>
              </a:ln>
            </c:spPr>
          </c:bandFmt>
          <c:bandFmt>
            <c:idx val="1"/>
            <c:spPr>
              <a:solidFill>
                <a:srgbClr val="3366FF"/>
              </a:solidFill>
              <a:ln>
                <a:solidFill>
                  <a:srgbClr val="C0C0C0"/>
                </a:solidFill>
                <a:prstDash val="solid"/>
              </a:ln>
            </c:spPr>
          </c:bandFmt>
          <c:bandFmt>
            <c:idx val="2"/>
            <c:spPr>
              <a:solidFill>
                <a:srgbClr val="3366FF"/>
              </a:solidFill>
              <a:ln>
                <a:solidFill>
                  <a:srgbClr val="C0C0C0"/>
                </a:solidFill>
                <a:prstDash val="solid"/>
              </a:ln>
            </c:spPr>
          </c:bandFmt>
          <c:bandFmt>
            <c:idx val="3"/>
            <c:spPr>
              <a:solidFill>
                <a:srgbClr val="3366FF"/>
              </a:solidFill>
              <a:ln>
                <a:solidFill>
                  <a:srgbClr val="C0C0C0"/>
                </a:solidFill>
                <a:prstDash val="solid"/>
              </a:ln>
            </c:spPr>
          </c:bandFmt>
          <c:bandFmt>
            <c:idx val="4"/>
            <c:spPr>
              <a:solidFill>
                <a:srgbClr val="3366FF"/>
              </a:solidFill>
              <a:ln>
                <a:solidFill>
                  <a:srgbClr val="C0C0C0"/>
                </a:solidFill>
                <a:prstDash val="solid"/>
              </a:ln>
            </c:spPr>
          </c:bandFmt>
          <c:bandFmt>
            <c:idx val="5"/>
            <c:spPr>
              <a:solidFill>
                <a:srgbClr val="3366FF"/>
              </a:solidFill>
              <a:ln>
                <a:solidFill>
                  <a:srgbClr val="C0C0C0"/>
                </a:solidFill>
                <a:prstDash val="solid"/>
              </a:ln>
            </c:spPr>
          </c:bandFmt>
          <c:bandFmt>
            <c:idx val="6"/>
            <c:spPr>
              <a:solidFill>
                <a:srgbClr val="3366FF"/>
              </a:solidFill>
              <a:ln>
                <a:solidFill>
                  <a:srgbClr val="C0C0C0"/>
                </a:solidFill>
                <a:prstDash val="solid"/>
              </a:ln>
            </c:spPr>
          </c:bandFmt>
          <c:bandFmt>
            <c:idx val="7"/>
            <c:spPr>
              <a:solidFill>
                <a:srgbClr val="3366FF"/>
              </a:solidFill>
              <a:ln>
                <a:solidFill>
                  <a:srgbClr val="C0C0C0"/>
                </a:solidFill>
                <a:prstDash val="solid"/>
              </a:ln>
            </c:spPr>
          </c:bandFmt>
          <c:bandFmt>
            <c:idx val="8"/>
            <c:spPr>
              <a:solidFill>
                <a:srgbClr val="3366FF"/>
              </a:solidFill>
              <a:ln>
                <a:solidFill>
                  <a:srgbClr val="C0C0C0"/>
                </a:solidFill>
                <a:prstDash val="solid"/>
              </a:ln>
            </c:spPr>
          </c:bandFmt>
          <c:bandFmt>
            <c:idx val="9"/>
            <c:spPr>
              <a:solidFill>
                <a:srgbClr val="3366FF"/>
              </a:solidFill>
              <a:ln>
                <a:solidFill>
                  <a:srgbClr val="C0C0C0"/>
                </a:solidFill>
                <a:prstDash val="solid"/>
              </a:ln>
            </c:spPr>
          </c:bandFmt>
        </c:bandFmts>
        <c:axId val="387180376"/>
        <c:axId val="387180768"/>
        <c:axId val="388170808"/>
      </c:surface3DChart>
      <c:catAx>
        <c:axId val="387180376"/>
        <c:scaling>
          <c:orientation val="minMax"/>
        </c:scaling>
        <c:delete val="0"/>
        <c:axPos val="b"/>
        <c:majorGridlines>
          <c:spPr>
            <a:ln>
              <a:solidFill>
                <a:srgbClr val="C0C0C0"/>
              </a:solidFill>
              <a:prstDash val="solid"/>
            </a:ln>
          </c:spPr>
        </c:majorGridlines>
        <c:title>
          <c:tx>
            <c:rich>
              <a:bodyPr/>
              <a:lstStyle/>
              <a:p>
                <a:pPr>
                  <a:defRPr sz="800" b="0"/>
                </a:pPr>
                <a:r>
                  <a:rPr lang="en-US"/>
                  <a:t>P(Improve) (C4)</a:t>
                </a:r>
              </a:p>
            </c:rich>
          </c:tx>
          <c:layout/>
          <c:overlay val="0"/>
        </c:title>
        <c:numFmt formatCode="General" sourceLinked="1"/>
        <c:majorTickMark val="none"/>
        <c:minorTickMark val="none"/>
        <c:tickLblPos val="nextTo"/>
        <c:spPr>
          <a:ln>
            <a:solidFill>
              <a:srgbClr val="C0C0C0"/>
            </a:solidFill>
            <a:prstDash val="solid"/>
          </a:ln>
        </c:spPr>
        <c:txPr>
          <a:bodyPr/>
          <a:lstStyle/>
          <a:p>
            <a:pPr>
              <a:defRPr sz="800"/>
            </a:pPr>
            <a:endParaRPr lang="en-US"/>
          </a:p>
        </c:txPr>
        <c:crossAx val="387180768"/>
        <c:crosses val="min"/>
        <c:auto val="1"/>
        <c:lblAlgn val="ctr"/>
        <c:lblOffset val="100"/>
        <c:noMultiLvlLbl val="0"/>
      </c:catAx>
      <c:valAx>
        <c:axId val="387180768"/>
        <c:scaling>
          <c:orientation val="minMax"/>
          <c:max val="11000"/>
          <c:min val="6000"/>
        </c:scaling>
        <c:delete val="0"/>
        <c:axPos val="l"/>
        <c:majorGridlines>
          <c:spPr>
            <a:ln>
              <a:solidFill>
                <a:srgbClr val="C0C0C0"/>
              </a:solidFill>
              <a:prstDash val="solid"/>
            </a:ln>
          </c:spPr>
        </c:majorGridlines>
        <c:title>
          <c:tx>
            <c:rich>
              <a:bodyPr rot="-5400000" vert="horz"/>
              <a:lstStyle/>
              <a:p>
                <a:pPr>
                  <a:defRPr sz="800" b="0"/>
                </a:pPr>
                <a:r>
                  <a:rPr lang="en-US"/>
                  <a:t>Expected Value</a:t>
                </a:r>
              </a:p>
            </c:rich>
          </c:tx>
          <c:layout/>
          <c:overlay val="0"/>
        </c:title>
        <c:numFmt formatCode="General" sourceLinked="1"/>
        <c:majorTickMark val="none"/>
        <c:minorTickMark val="none"/>
        <c:tickLblPos val="nextTo"/>
        <c:spPr>
          <a:ln>
            <a:solidFill>
              <a:srgbClr val="C0C0C0"/>
            </a:solidFill>
            <a:prstDash val="solid"/>
          </a:ln>
        </c:spPr>
        <c:txPr>
          <a:bodyPr/>
          <a:lstStyle/>
          <a:p>
            <a:pPr>
              <a:defRPr sz="800"/>
            </a:pPr>
            <a:endParaRPr lang="en-US"/>
          </a:p>
        </c:txPr>
        <c:crossAx val="387180376"/>
        <c:crosses val="autoZero"/>
        <c:crossBetween val="midCat"/>
        <c:majorUnit val="500"/>
      </c:valAx>
      <c:serAx>
        <c:axId val="388170808"/>
        <c:scaling>
          <c:orientation val="minMax"/>
        </c:scaling>
        <c:delete val="0"/>
        <c:axPos val="b"/>
        <c:majorGridlines>
          <c:spPr>
            <a:ln>
              <a:solidFill>
                <a:srgbClr val="C0C0C0"/>
              </a:solidFill>
              <a:prstDash val="solid"/>
            </a:ln>
          </c:spPr>
        </c:majorGridlines>
        <c:title>
          <c:tx>
            <c:rich>
              <a:bodyPr/>
              <a:lstStyle/>
              <a:p>
                <a:pPr>
                  <a:defRPr sz="800" b="0"/>
                </a:pPr>
                <a:r>
                  <a:rPr lang="en-US"/>
                  <a:t>P(Rival) (D2)</a:t>
                </a:r>
              </a:p>
            </c:rich>
          </c:tx>
          <c:layout/>
          <c:overlay val="0"/>
        </c:title>
        <c:majorTickMark val="none"/>
        <c:minorTickMark val="none"/>
        <c:tickLblPos val="nextTo"/>
        <c:spPr>
          <a:ln>
            <a:solidFill>
              <a:srgbClr val="C0C0C0"/>
            </a:solidFill>
            <a:prstDash val="solid"/>
          </a:ln>
        </c:spPr>
        <c:txPr>
          <a:bodyPr/>
          <a:lstStyle/>
          <a:p>
            <a:pPr>
              <a:defRPr sz="800"/>
            </a:pPr>
            <a:endParaRPr lang="en-US"/>
          </a:p>
        </c:txPr>
        <c:crossAx val="387180768"/>
        <c:crosses val="min"/>
      </c:serAx>
    </c:plotArea>
    <c:plotVisOnly val="1"/>
    <c:dispBlanksAs val="gap"/>
    <c:showDLblsOverMax val="0"/>
  </c:chart>
  <c:spPr>
    <a:ln w="25400"/>
  </c:spPr>
  <c:printSettings>
    <c:headerFooter/>
    <c:pageMargins b="0.75" l="0.7" r="0.7" t="0.75" header="0.3" footer="0.3"/>
    <c:pageSetup/>
  </c:printSettings>
</c:chartSpac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3</xdr:col>
      <xdr:colOff>261747</xdr:colOff>
      <xdr:row>13</xdr:row>
      <xdr:rowOff>223520</xdr:rowOff>
    </xdr:from>
    <xdr:to>
      <xdr:col>4</xdr:col>
      <xdr:colOff>127</xdr:colOff>
      <xdr:row>13</xdr:row>
      <xdr:rowOff>223520</xdr:rowOff>
    </xdr:to>
    <xdr:cxnSp macro="_xll.PtreeEvent_ObjectClick">
      <xdr:nvCxnSpPr>
        <xdr:cNvPr id="154" name="PTObj_DBranchHLine_1_9"/>
        <xdr:cNvCxnSpPr/>
      </xdr:nvCxnSpPr>
      <xdr:spPr>
        <a:xfrm>
          <a:off x="3805047" y="3652520"/>
          <a:ext cx="1041400" cy="0"/>
        </a:xfrm>
        <a:prstGeom prst="line">
          <a:avLst/>
        </a:prstGeom>
        <a:ln>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109347</xdr:colOff>
      <xdr:row>11</xdr:row>
      <xdr:rowOff>218440</xdr:rowOff>
    </xdr:from>
    <xdr:to>
      <xdr:col>3</xdr:col>
      <xdr:colOff>261747</xdr:colOff>
      <xdr:row>13</xdr:row>
      <xdr:rowOff>223520</xdr:rowOff>
    </xdr:to>
    <xdr:cxnSp macro="_xll.PtreeEvent_ObjectClick">
      <xdr:nvCxnSpPr>
        <xdr:cNvPr id="153" name="PTObj_DBranchDLine_1_9"/>
        <xdr:cNvCxnSpPr/>
      </xdr:nvCxnSpPr>
      <xdr:spPr>
        <a:xfrm>
          <a:off x="3652647" y="3190240"/>
          <a:ext cx="152400" cy="462280"/>
        </a:xfrm>
        <a:prstGeom prst="line">
          <a:avLst/>
        </a:prstGeom>
        <a:ln>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261747</xdr:colOff>
      <xdr:row>9</xdr:row>
      <xdr:rowOff>223520</xdr:rowOff>
    </xdr:from>
    <xdr:to>
      <xdr:col>4</xdr:col>
      <xdr:colOff>127</xdr:colOff>
      <xdr:row>9</xdr:row>
      <xdr:rowOff>223520</xdr:rowOff>
    </xdr:to>
    <xdr:cxnSp macro="_xll.PtreeEvent_ObjectClick">
      <xdr:nvCxnSpPr>
        <xdr:cNvPr id="150" name="PTObj_DBranchHLine_1_8"/>
        <xdr:cNvCxnSpPr/>
      </xdr:nvCxnSpPr>
      <xdr:spPr>
        <a:xfrm>
          <a:off x="3805047" y="2738120"/>
          <a:ext cx="1041400" cy="0"/>
        </a:xfrm>
        <a:prstGeom prst="line">
          <a:avLst/>
        </a:prstGeom>
        <a:ln>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109347</xdr:colOff>
      <xdr:row>9</xdr:row>
      <xdr:rowOff>223520</xdr:rowOff>
    </xdr:from>
    <xdr:to>
      <xdr:col>3</xdr:col>
      <xdr:colOff>261747</xdr:colOff>
      <xdr:row>11</xdr:row>
      <xdr:rowOff>218440</xdr:rowOff>
    </xdr:to>
    <xdr:cxnSp macro="_xll.PtreeEvent_ObjectClick">
      <xdr:nvCxnSpPr>
        <xdr:cNvPr id="149" name="PTObj_DBranchDLine_1_8"/>
        <xdr:cNvCxnSpPr/>
      </xdr:nvCxnSpPr>
      <xdr:spPr>
        <a:xfrm flipV="1">
          <a:off x="3652647" y="2738120"/>
          <a:ext cx="152400" cy="452120"/>
        </a:xfrm>
        <a:prstGeom prst="line">
          <a:avLst/>
        </a:prstGeom>
        <a:ln>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261747</xdr:colOff>
      <xdr:row>11</xdr:row>
      <xdr:rowOff>223520</xdr:rowOff>
    </xdr:from>
    <xdr:to>
      <xdr:col>3</xdr:col>
      <xdr:colOff>127</xdr:colOff>
      <xdr:row>11</xdr:row>
      <xdr:rowOff>223520</xdr:rowOff>
    </xdr:to>
    <xdr:cxnSp macro="_xll.PtreeEvent_ObjectClick">
      <xdr:nvCxnSpPr>
        <xdr:cNvPr id="146" name="PTObj_DBranchHLine_1_5"/>
        <xdr:cNvCxnSpPr/>
      </xdr:nvCxnSpPr>
      <xdr:spPr>
        <a:xfrm>
          <a:off x="2502027" y="3195320"/>
          <a:ext cx="1041400" cy="0"/>
        </a:xfrm>
        <a:prstGeom prst="line">
          <a:avLst/>
        </a:prstGeom>
        <a:ln>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109347</xdr:colOff>
      <xdr:row>7</xdr:row>
      <xdr:rowOff>218440</xdr:rowOff>
    </xdr:from>
    <xdr:to>
      <xdr:col>2</xdr:col>
      <xdr:colOff>261747</xdr:colOff>
      <xdr:row>11</xdr:row>
      <xdr:rowOff>223520</xdr:rowOff>
    </xdr:to>
    <xdr:cxnSp macro="_xll.PtreeEvent_ObjectClick">
      <xdr:nvCxnSpPr>
        <xdr:cNvPr id="145" name="PTObj_DBranchDLine_1_5"/>
        <xdr:cNvCxnSpPr/>
      </xdr:nvCxnSpPr>
      <xdr:spPr>
        <a:xfrm>
          <a:off x="2349627" y="2275840"/>
          <a:ext cx="152400" cy="919480"/>
        </a:xfrm>
        <a:prstGeom prst="line">
          <a:avLst/>
        </a:prstGeom>
        <a:ln>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261747</xdr:colOff>
      <xdr:row>5</xdr:row>
      <xdr:rowOff>223520</xdr:rowOff>
    </xdr:from>
    <xdr:to>
      <xdr:col>4</xdr:col>
      <xdr:colOff>127</xdr:colOff>
      <xdr:row>5</xdr:row>
      <xdr:rowOff>223520</xdr:rowOff>
    </xdr:to>
    <xdr:cxnSp macro="_xll.PtreeEvent_ObjectClick">
      <xdr:nvCxnSpPr>
        <xdr:cNvPr id="138" name="PTObj_DBranchHLine_1_7"/>
        <xdr:cNvCxnSpPr/>
      </xdr:nvCxnSpPr>
      <xdr:spPr>
        <a:xfrm>
          <a:off x="3805047" y="1823720"/>
          <a:ext cx="1041400" cy="0"/>
        </a:xfrm>
        <a:prstGeom prst="line">
          <a:avLst/>
        </a:prstGeom>
        <a:ln>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109347</xdr:colOff>
      <xdr:row>3</xdr:row>
      <xdr:rowOff>218440</xdr:rowOff>
    </xdr:from>
    <xdr:to>
      <xdr:col>3</xdr:col>
      <xdr:colOff>261747</xdr:colOff>
      <xdr:row>5</xdr:row>
      <xdr:rowOff>223520</xdr:rowOff>
    </xdr:to>
    <xdr:cxnSp macro="_xll.PtreeEvent_ObjectClick">
      <xdr:nvCxnSpPr>
        <xdr:cNvPr id="137" name="PTObj_DBranchDLine_1_7"/>
        <xdr:cNvCxnSpPr/>
      </xdr:nvCxnSpPr>
      <xdr:spPr>
        <a:xfrm>
          <a:off x="3652647" y="1361440"/>
          <a:ext cx="152400" cy="462280"/>
        </a:xfrm>
        <a:prstGeom prst="line">
          <a:avLst/>
        </a:prstGeom>
        <a:ln>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261747</xdr:colOff>
      <xdr:row>1</xdr:row>
      <xdr:rowOff>223520</xdr:rowOff>
    </xdr:from>
    <xdr:to>
      <xdr:col>4</xdr:col>
      <xdr:colOff>127</xdr:colOff>
      <xdr:row>1</xdr:row>
      <xdr:rowOff>223520</xdr:rowOff>
    </xdr:to>
    <xdr:cxnSp macro="_xll.PtreeEvent_ObjectClick">
      <xdr:nvCxnSpPr>
        <xdr:cNvPr id="134" name="PTObj_DBranchHLine_1_6"/>
        <xdr:cNvCxnSpPr/>
      </xdr:nvCxnSpPr>
      <xdr:spPr>
        <a:xfrm>
          <a:off x="3805047" y="909320"/>
          <a:ext cx="1041400" cy="0"/>
        </a:xfrm>
        <a:prstGeom prst="line">
          <a:avLst/>
        </a:prstGeom>
        <a:ln>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109347</xdr:colOff>
      <xdr:row>1</xdr:row>
      <xdr:rowOff>223520</xdr:rowOff>
    </xdr:from>
    <xdr:to>
      <xdr:col>3</xdr:col>
      <xdr:colOff>261747</xdr:colOff>
      <xdr:row>3</xdr:row>
      <xdr:rowOff>218440</xdr:rowOff>
    </xdr:to>
    <xdr:cxnSp macro="_xll.PtreeEvent_ObjectClick">
      <xdr:nvCxnSpPr>
        <xdr:cNvPr id="133" name="PTObj_DBranchDLine_1_6"/>
        <xdr:cNvCxnSpPr/>
      </xdr:nvCxnSpPr>
      <xdr:spPr>
        <a:xfrm flipV="1">
          <a:off x="3652647" y="909320"/>
          <a:ext cx="152400" cy="452120"/>
        </a:xfrm>
        <a:prstGeom prst="line">
          <a:avLst/>
        </a:prstGeom>
        <a:ln>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261747</xdr:colOff>
      <xdr:row>3</xdr:row>
      <xdr:rowOff>223520</xdr:rowOff>
    </xdr:from>
    <xdr:to>
      <xdr:col>3</xdr:col>
      <xdr:colOff>127</xdr:colOff>
      <xdr:row>3</xdr:row>
      <xdr:rowOff>223520</xdr:rowOff>
    </xdr:to>
    <xdr:cxnSp macro="_xll.PtreeEvent_ObjectClick">
      <xdr:nvCxnSpPr>
        <xdr:cNvPr id="130" name="PTObj_DBranchHLine_1_4"/>
        <xdr:cNvCxnSpPr/>
      </xdr:nvCxnSpPr>
      <xdr:spPr>
        <a:xfrm>
          <a:off x="2502027" y="1366520"/>
          <a:ext cx="1041400" cy="0"/>
        </a:xfrm>
        <a:prstGeom prst="line">
          <a:avLst/>
        </a:prstGeom>
        <a:ln>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109347</xdr:colOff>
      <xdr:row>3</xdr:row>
      <xdr:rowOff>223520</xdr:rowOff>
    </xdr:from>
    <xdr:to>
      <xdr:col>2</xdr:col>
      <xdr:colOff>261747</xdr:colOff>
      <xdr:row>7</xdr:row>
      <xdr:rowOff>218440</xdr:rowOff>
    </xdr:to>
    <xdr:cxnSp macro="_xll.PtreeEvent_ObjectClick">
      <xdr:nvCxnSpPr>
        <xdr:cNvPr id="129" name="PTObj_DBranchDLine_1_4"/>
        <xdr:cNvCxnSpPr/>
      </xdr:nvCxnSpPr>
      <xdr:spPr>
        <a:xfrm flipV="1">
          <a:off x="2349627" y="1366520"/>
          <a:ext cx="152400" cy="909320"/>
        </a:xfrm>
        <a:prstGeom prst="line">
          <a:avLst/>
        </a:prstGeom>
        <a:ln>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261747</xdr:colOff>
      <xdr:row>21</xdr:row>
      <xdr:rowOff>223520</xdr:rowOff>
    </xdr:from>
    <xdr:to>
      <xdr:col>3</xdr:col>
      <xdr:colOff>127</xdr:colOff>
      <xdr:row>21</xdr:row>
      <xdr:rowOff>223520</xdr:rowOff>
    </xdr:to>
    <xdr:cxnSp macro="_xll.PtreeEvent_ObjectClick">
      <xdr:nvCxnSpPr>
        <xdr:cNvPr id="114" name="PTObj_DBranchHLine_1_19"/>
        <xdr:cNvCxnSpPr/>
      </xdr:nvCxnSpPr>
      <xdr:spPr>
        <a:xfrm>
          <a:off x="2502027" y="9138920"/>
          <a:ext cx="1026160" cy="0"/>
        </a:xfrm>
        <a:prstGeom prst="line">
          <a:avLst/>
        </a:prstGeom>
        <a:ln>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109347</xdr:colOff>
      <xdr:row>19</xdr:row>
      <xdr:rowOff>218439</xdr:rowOff>
    </xdr:from>
    <xdr:to>
      <xdr:col>2</xdr:col>
      <xdr:colOff>261747</xdr:colOff>
      <xdr:row>21</xdr:row>
      <xdr:rowOff>223520</xdr:rowOff>
    </xdr:to>
    <xdr:cxnSp macro="_xll.PtreeEvent_ObjectClick">
      <xdr:nvCxnSpPr>
        <xdr:cNvPr id="113" name="PTObj_DBranchDLine_1_19"/>
        <xdr:cNvCxnSpPr/>
      </xdr:nvCxnSpPr>
      <xdr:spPr>
        <a:xfrm>
          <a:off x="2349627" y="8676639"/>
          <a:ext cx="152400" cy="462281"/>
        </a:xfrm>
        <a:prstGeom prst="line">
          <a:avLst/>
        </a:prstGeom>
        <a:ln>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261747</xdr:colOff>
      <xdr:row>17</xdr:row>
      <xdr:rowOff>223520</xdr:rowOff>
    </xdr:from>
    <xdr:to>
      <xdr:col>3</xdr:col>
      <xdr:colOff>127</xdr:colOff>
      <xdr:row>17</xdr:row>
      <xdr:rowOff>223520</xdr:rowOff>
    </xdr:to>
    <xdr:cxnSp macro="_xll.PtreeEvent_ObjectClick">
      <xdr:nvCxnSpPr>
        <xdr:cNvPr id="110" name="PTObj_DBranchHLine_1_18"/>
        <xdr:cNvCxnSpPr/>
      </xdr:nvCxnSpPr>
      <xdr:spPr>
        <a:xfrm>
          <a:off x="2502027" y="8224520"/>
          <a:ext cx="1026160" cy="0"/>
        </a:xfrm>
        <a:prstGeom prst="line">
          <a:avLst/>
        </a:prstGeom>
        <a:ln>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109347</xdr:colOff>
      <xdr:row>17</xdr:row>
      <xdr:rowOff>223520</xdr:rowOff>
    </xdr:from>
    <xdr:to>
      <xdr:col>2</xdr:col>
      <xdr:colOff>261747</xdr:colOff>
      <xdr:row>19</xdr:row>
      <xdr:rowOff>218439</xdr:rowOff>
    </xdr:to>
    <xdr:cxnSp macro="_xll.PtreeEvent_ObjectClick">
      <xdr:nvCxnSpPr>
        <xdr:cNvPr id="109" name="PTObj_DBranchDLine_1_18"/>
        <xdr:cNvCxnSpPr/>
      </xdr:nvCxnSpPr>
      <xdr:spPr>
        <a:xfrm flipV="1">
          <a:off x="2349627" y="8224520"/>
          <a:ext cx="152400" cy="452119"/>
        </a:xfrm>
        <a:prstGeom prst="line">
          <a:avLst/>
        </a:prstGeom>
        <a:ln>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261747</xdr:colOff>
      <xdr:row>19</xdr:row>
      <xdr:rowOff>223520</xdr:rowOff>
    </xdr:from>
    <xdr:to>
      <xdr:col>2</xdr:col>
      <xdr:colOff>127</xdr:colOff>
      <xdr:row>19</xdr:row>
      <xdr:rowOff>223520</xdr:rowOff>
    </xdr:to>
    <xdr:cxnSp macro="_xll.PtreeEvent_ObjectClick">
      <xdr:nvCxnSpPr>
        <xdr:cNvPr id="106" name="PTObj_DBranchHLine_1_3"/>
        <xdr:cNvCxnSpPr/>
      </xdr:nvCxnSpPr>
      <xdr:spPr>
        <a:xfrm>
          <a:off x="1138047" y="8681720"/>
          <a:ext cx="1087120" cy="0"/>
        </a:xfrm>
        <a:prstGeom prst="line">
          <a:avLst/>
        </a:prstGeom>
        <a:ln>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109347</xdr:colOff>
      <xdr:row>15</xdr:row>
      <xdr:rowOff>218439</xdr:rowOff>
    </xdr:from>
    <xdr:to>
      <xdr:col>1</xdr:col>
      <xdr:colOff>261747</xdr:colOff>
      <xdr:row>19</xdr:row>
      <xdr:rowOff>223520</xdr:rowOff>
    </xdr:to>
    <xdr:cxnSp macro="_xll.PtreeEvent_ObjectClick">
      <xdr:nvCxnSpPr>
        <xdr:cNvPr id="105" name="PTObj_DBranchDLine_1_3"/>
        <xdr:cNvCxnSpPr/>
      </xdr:nvCxnSpPr>
      <xdr:spPr>
        <a:xfrm>
          <a:off x="985647" y="7762239"/>
          <a:ext cx="152400" cy="919481"/>
        </a:xfrm>
        <a:prstGeom prst="line">
          <a:avLst/>
        </a:prstGeom>
        <a:ln>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261747</xdr:colOff>
      <xdr:row>7</xdr:row>
      <xdr:rowOff>223520</xdr:rowOff>
    </xdr:from>
    <xdr:to>
      <xdr:col>2</xdr:col>
      <xdr:colOff>127</xdr:colOff>
      <xdr:row>7</xdr:row>
      <xdr:rowOff>223520</xdr:rowOff>
    </xdr:to>
    <xdr:cxnSp macro="_xll.PtreeEvent_ObjectClick">
      <xdr:nvCxnSpPr>
        <xdr:cNvPr id="18" name="PTObj_DBranchHLine_1_2"/>
        <xdr:cNvCxnSpPr/>
      </xdr:nvCxnSpPr>
      <xdr:spPr>
        <a:xfrm>
          <a:off x="1473327" y="909320"/>
          <a:ext cx="1330960" cy="0"/>
        </a:xfrm>
        <a:prstGeom prst="line">
          <a:avLst/>
        </a:prstGeom>
        <a:ln>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109347</xdr:colOff>
      <xdr:row>7</xdr:row>
      <xdr:rowOff>223520</xdr:rowOff>
    </xdr:from>
    <xdr:to>
      <xdr:col>1</xdr:col>
      <xdr:colOff>261747</xdr:colOff>
      <xdr:row>15</xdr:row>
      <xdr:rowOff>218440</xdr:rowOff>
    </xdr:to>
    <xdr:cxnSp macro="_xll.PtreeEvent_ObjectClick">
      <xdr:nvCxnSpPr>
        <xdr:cNvPr id="17" name="PTObj_DBranchDLine_1_2"/>
        <xdr:cNvCxnSpPr/>
      </xdr:nvCxnSpPr>
      <xdr:spPr>
        <a:xfrm flipV="1">
          <a:off x="1320927" y="909320"/>
          <a:ext cx="152400" cy="452120"/>
        </a:xfrm>
        <a:prstGeom prst="line">
          <a:avLst/>
        </a:prstGeom>
        <a:ln>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177800</xdr:colOff>
      <xdr:row>15</xdr:row>
      <xdr:rowOff>223520</xdr:rowOff>
    </xdr:from>
    <xdr:to>
      <xdr:col>1</xdr:col>
      <xdr:colOff>127</xdr:colOff>
      <xdr:row>15</xdr:row>
      <xdr:rowOff>223520</xdr:rowOff>
    </xdr:to>
    <xdr:cxnSp macro="_xll.PtreeEvent_ObjectClick">
      <xdr:nvCxnSpPr>
        <xdr:cNvPr id="6" name="PTObj_DBranchHLine_1_1"/>
        <xdr:cNvCxnSpPr/>
      </xdr:nvCxnSpPr>
      <xdr:spPr>
        <a:xfrm>
          <a:off x="177800" y="909320"/>
          <a:ext cx="972947" cy="0"/>
        </a:xfrm>
        <a:prstGeom prst="line">
          <a:avLst/>
        </a:prstGeom>
        <a:ln>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xdr:col>
      <xdr:colOff>127</xdr:colOff>
      <xdr:row>15</xdr:row>
      <xdr:rowOff>109220</xdr:rowOff>
    </xdr:from>
    <xdr:to>
      <xdr:col>1</xdr:col>
      <xdr:colOff>228727</xdr:colOff>
      <xdr:row>16</xdr:row>
      <xdr:rowOff>132080</xdr:rowOff>
    </xdr:to>
    <xdr:sp macro="_xll.PtreeEvent_ObjectClick" textlink="">
      <xdr:nvSpPr>
        <xdr:cNvPr id="5" name="PTObj_DNode_1_1"/>
        <xdr:cNvSpPr/>
      </xdr:nvSpPr>
      <xdr:spPr>
        <a:xfrm>
          <a:off x="1150747" y="795020"/>
          <a:ext cx="228600" cy="228600"/>
        </a:xfrm>
        <a:prstGeom prst="rect">
          <a:avLst/>
        </a:prstGeom>
        <a:solidFill>
          <a:srgbClr val="008000"/>
        </a:solidFill>
        <a:ln w="1270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oneCellAnchor>
    <xdr:from>
      <xdr:col>0</xdr:col>
      <xdr:colOff>215900</xdr:colOff>
      <xdr:row>15</xdr:row>
      <xdr:rowOff>133207</xdr:rowOff>
    </xdr:from>
    <xdr:ext cx="569772" cy="180627"/>
    <xdr:sp macro="_xll.PtreeEvent_ObjectClick" textlink="">
      <xdr:nvSpPr>
        <xdr:cNvPr id="7" name="PTObj_DBranchName_1_1"/>
        <xdr:cNvSpPr txBox="1"/>
      </xdr:nvSpPr>
      <xdr:spPr>
        <a:xfrm>
          <a:off x="215900" y="1276207"/>
          <a:ext cx="569772" cy="180627"/>
        </a:xfrm>
        <a:prstGeom prst="rect">
          <a:avLst/>
        </a:prstGeom>
        <a:solidFill>
          <a:srgbClr val="FFFFFF"/>
        </a:solidFill>
        <a:ln w="9525" cmpd="sng">
          <a:solidFill>
            <a:srgbClr val="808080"/>
          </a:solidFill>
        </a:ln>
      </xdr:spPr>
      <xdr:style>
        <a:lnRef idx="0">
          <a:scrgbClr r="0" g="0" b="0"/>
        </a:lnRef>
        <a:fillRef idx="0">
          <a:scrgbClr r="0" g="0" b="0"/>
        </a:fillRef>
        <a:effectRef idx="0">
          <a:scrgbClr r="0" g="0" b="0"/>
        </a:effectRef>
        <a:fontRef idx="minor">
          <a:schemeClr val="dk1"/>
        </a:fontRef>
      </xdr:style>
      <xdr:txBody>
        <a:bodyPr vertOverflow="clip" horzOverflow="clip" vert="horz" wrap="none" lIns="27432" tIns="27432" rIns="27432" bIns="27432" rtlCol="0" anchor="ctr">
          <a:spAutoFit/>
        </a:bodyPr>
        <a:lstStyle/>
        <a:p>
          <a:pPr algn="ctr"/>
          <a:r>
            <a:rPr lang="en-US" sz="800"/>
            <a:t>WF Decision</a:t>
          </a:r>
        </a:p>
      </xdr:txBody>
    </xdr:sp>
    <xdr:clientData/>
  </xdr:oneCellAnchor>
  <xdr:twoCellAnchor editAs="oneCell">
    <xdr:from>
      <xdr:col>2</xdr:col>
      <xdr:colOff>127</xdr:colOff>
      <xdr:row>7</xdr:row>
      <xdr:rowOff>109220</xdr:rowOff>
    </xdr:from>
    <xdr:to>
      <xdr:col>2</xdr:col>
      <xdr:colOff>228727</xdr:colOff>
      <xdr:row>8</xdr:row>
      <xdr:rowOff>132080</xdr:rowOff>
    </xdr:to>
    <xdr:sp macro="_xll.PtreeEvent_ObjectClick" textlink="">
      <xdr:nvSpPr>
        <xdr:cNvPr id="16" name="PTObj_DNode_1_2"/>
        <xdr:cNvSpPr/>
      </xdr:nvSpPr>
      <xdr:spPr>
        <a:xfrm>
          <a:off x="2804287" y="795020"/>
          <a:ext cx="228600" cy="228600"/>
        </a:xfrm>
        <a:prstGeom prst="ellipse">
          <a:avLst/>
        </a:prstGeom>
        <a:solidFill>
          <a:srgbClr val="800000"/>
        </a:solidFill>
        <a:ln w="1270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oneCellAnchor>
    <xdr:from>
      <xdr:col>1</xdr:col>
      <xdr:colOff>299847</xdr:colOff>
      <xdr:row>7</xdr:row>
      <xdr:rowOff>133207</xdr:rowOff>
    </xdr:from>
    <xdr:ext cx="211533" cy="180627"/>
    <xdr:sp macro="_xll.PtreeEvent_ObjectClick" textlink="">
      <xdr:nvSpPr>
        <xdr:cNvPr id="19" name="PTObj_DBranchName_1_2"/>
        <xdr:cNvSpPr txBox="1"/>
      </xdr:nvSpPr>
      <xdr:spPr>
        <a:xfrm>
          <a:off x="1511427" y="819007"/>
          <a:ext cx="211533" cy="180627"/>
        </a:xfrm>
        <a:prstGeom prst="rect">
          <a:avLst/>
        </a:prstGeom>
        <a:solidFill>
          <a:schemeClr val="lt1"/>
        </a:solidFill>
        <a:ln w="9525" cmpd="sng">
          <a:solidFill>
            <a:srgbClr val="808080"/>
          </a:solidFill>
        </a:ln>
      </xdr:spPr>
      <xdr:style>
        <a:lnRef idx="0">
          <a:scrgbClr r="0" g="0" b="0"/>
        </a:lnRef>
        <a:fillRef idx="0">
          <a:scrgbClr r="0" g="0" b="0"/>
        </a:fillRef>
        <a:effectRef idx="0">
          <a:scrgbClr r="0" g="0" b="0"/>
        </a:effectRef>
        <a:fontRef idx="minor">
          <a:schemeClr val="dk1"/>
        </a:fontRef>
      </xdr:style>
      <xdr:txBody>
        <a:bodyPr vertOverflow="clip" horzOverflow="clip" vert="horz" wrap="none" lIns="27432" tIns="27432" rIns="27432" bIns="27432" rtlCol="0" anchor="ctr">
          <a:spAutoFit/>
        </a:bodyPr>
        <a:lstStyle/>
        <a:p>
          <a:pPr algn="ctr"/>
          <a:r>
            <a:rPr lang="en-US" sz="800"/>
            <a:t>Buy</a:t>
          </a:r>
        </a:p>
      </xdr:txBody>
    </xdr:sp>
    <xdr:clientData/>
  </xdr:oneCellAnchor>
  <xdr:twoCellAnchor editAs="oneCell">
    <xdr:from>
      <xdr:col>2</xdr:col>
      <xdr:colOff>127</xdr:colOff>
      <xdr:row>19</xdr:row>
      <xdr:rowOff>109220</xdr:rowOff>
    </xdr:from>
    <xdr:to>
      <xdr:col>2</xdr:col>
      <xdr:colOff>228727</xdr:colOff>
      <xdr:row>20</xdr:row>
      <xdr:rowOff>132080</xdr:rowOff>
    </xdr:to>
    <xdr:sp macro="_xll.PtreeEvent_ObjectClick" textlink="">
      <xdr:nvSpPr>
        <xdr:cNvPr id="104" name="PTObj_DNode_1_3"/>
        <xdr:cNvSpPr/>
      </xdr:nvSpPr>
      <xdr:spPr>
        <a:xfrm>
          <a:off x="2225167" y="8567420"/>
          <a:ext cx="228600" cy="228600"/>
        </a:xfrm>
        <a:prstGeom prst="ellipse">
          <a:avLst/>
        </a:prstGeom>
        <a:solidFill>
          <a:srgbClr val="800000"/>
        </a:solidFill>
        <a:ln w="1270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oneCellAnchor>
    <xdr:from>
      <xdr:col>1</xdr:col>
      <xdr:colOff>299847</xdr:colOff>
      <xdr:row>19</xdr:row>
      <xdr:rowOff>133207</xdr:rowOff>
    </xdr:from>
    <xdr:ext cx="462884" cy="180627"/>
    <xdr:sp macro="_xll.PtreeEvent_ObjectClick" textlink="">
      <xdr:nvSpPr>
        <xdr:cNvPr id="107" name="PTObj_DBranchName_1_3"/>
        <xdr:cNvSpPr txBox="1"/>
      </xdr:nvSpPr>
      <xdr:spPr>
        <a:xfrm>
          <a:off x="1176147" y="8591407"/>
          <a:ext cx="462884" cy="180627"/>
        </a:xfrm>
        <a:prstGeom prst="rect">
          <a:avLst/>
        </a:prstGeom>
        <a:solidFill>
          <a:schemeClr val="lt1"/>
        </a:solidFill>
        <a:ln w="9525" cmpd="sng">
          <a:solidFill>
            <a:srgbClr val="808080"/>
          </a:solidFill>
        </a:ln>
      </xdr:spPr>
      <xdr:style>
        <a:lnRef idx="0">
          <a:scrgbClr r="0" g="0" b="0"/>
        </a:lnRef>
        <a:fillRef idx="0">
          <a:scrgbClr r="0" g="0" b="0"/>
        </a:fillRef>
        <a:effectRef idx="0">
          <a:scrgbClr r="0" g="0" b="0"/>
        </a:effectRef>
        <a:fontRef idx="minor">
          <a:schemeClr val="dk1"/>
        </a:fontRef>
      </xdr:style>
      <xdr:txBody>
        <a:bodyPr vertOverflow="clip" horzOverflow="clip" vert="horz" wrap="none" lIns="27432" tIns="27432" rIns="27432" bIns="27432" rtlCol="0" anchor="ctr">
          <a:spAutoFit/>
        </a:bodyPr>
        <a:lstStyle/>
        <a:p>
          <a:pPr algn="ctr"/>
          <a:r>
            <a:rPr lang="en-US" sz="800"/>
            <a:t>Don't Buy</a:t>
          </a:r>
        </a:p>
      </xdr:txBody>
    </xdr:sp>
    <xdr:clientData/>
  </xdr:oneCellAnchor>
  <xdr:twoCellAnchor editAs="oneCell">
    <xdr:from>
      <xdr:col>3</xdr:col>
      <xdr:colOff>127</xdr:colOff>
      <xdr:row>17</xdr:row>
      <xdr:rowOff>109220</xdr:rowOff>
    </xdr:from>
    <xdr:to>
      <xdr:col>3</xdr:col>
      <xdr:colOff>228727</xdr:colOff>
      <xdr:row>18</xdr:row>
      <xdr:rowOff>132080</xdr:rowOff>
    </xdr:to>
    <xdr:sp macro="_xll.PtreeEvent_ObjectClick" textlink="">
      <xdr:nvSpPr>
        <xdr:cNvPr id="108" name="PTObj_DNode_1_18"/>
        <xdr:cNvSpPr/>
      </xdr:nvSpPr>
      <xdr:spPr>
        <a:xfrm rot="-5400000">
          <a:off x="3528187" y="8110220"/>
          <a:ext cx="228600" cy="228600"/>
        </a:xfrm>
        <a:prstGeom prst="triangle">
          <a:avLst/>
        </a:prstGeom>
        <a:solidFill>
          <a:srgbClr val="000080"/>
        </a:solidFill>
        <a:ln w="1270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oneCellAnchor>
    <xdr:from>
      <xdr:col>2</xdr:col>
      <xdr:colOff>299847</xdr:colOff>
      <xdr:row>17</xdr:row>
      <xdr:rowOff>133207</xdr:rowOff>
    </xdr:from>
    <xdr:ext cx="329001" cy="180627"/>
    <xdr:sp macro="_xll.PtreeEvent_ObjectClick" textlink="">
      <xdr:nvSpPr>
        <xdr:cNvPr id="111" name="PTObj_DBranchName_1_18"/>
        <xdr:cNvSpPr txBox="1"/>
      </xdr:nvSpPr>
      <xdr:spPr>
        <a:xfrm>
          <a:off x="2540127" y="8134207"/>
          <a:ext cx="329001" cy="180627"/>
        </a:xfrm>
        <a:prstGeom prst="rect">
          <a:avLst/>
        </a:prstGeom>
        <a:solidFill>
          <a:srgbClr val="FFFFFF"/>
        </a:solidFill>
        <a:ln w="9525" cmpd="sng">
          <a:solidFill>
            <a:srgbClr val="808080"/>
          </a:solidFill>
        </a:ln>
      </xdr:spPr>
      <xdr:style>
        <a:lnRef idx="0">
          <a:scrgbClr r="0" g="0" b="0"/>
        </a:lnRef>
        <a:fillRef idx="0">
          <a:scrgbClr r="0" g="0" b="0"/>
        </a:fillRef>
        <a:effectRef idx="0">
          <a:scrgbClr r="0" g="0" b="0"/>
        </a:effectRef>
        <a:fontRef idx="minor">
          <a:schemeClr val="dk1"/>
        </a:fontRef>
      </xdr:style>
      <xdr:txBody>
        <a:bodyPr vertOverflow="clip" horzOverflow="clip" vert="horz" wrap="none" lIns="27432" tIns="27432" rIns="27432" bIns="27432" rtlCol="0" anchor="ctr">
          <a:spAutoFit/>
        </a:bodyPr>
        <a:lstStyle/>
        <a:p>
          <a:pPr algn="ctr"/>
          <a:r>
            <a:rPr lang="en-US" sz="800"/>
            <a:t>Strong</a:t>
          </a:r>
        </a:p>
      </xdr:txBody>
    </xdr:sp>
    <xdr:clientData/>
  </xdr:oneCellAnchor>
  <xdr:twoCellAnchor editAs="oneCell">
    <xdr:from>
      <xdr:col>3</xdr:col>
      <xdr:colOff>127</xdr:colOff>
      <xdr:row>21</xdr:row>
      <xdr:rowOff>109220</xdr:rowOff>
    </xdr:from>
    <xdr:to>
      <xdr:col>3</xdr:col>
      <xdr:colOff>228727</xdr:colOff>
      <xdr:row>22</xdr:row>
      <xdr:rowOff>132080</xdr:rowOff>
    </xdr:to>
    <xdr:sp macro="_xll.PtreeEvent_ObjectClick" textlink="">
      <xdr:nvSpPr>
        <xdr:cNvPr id="112" name="PTObj_DNode_1_19"/>
        <xdr:cNvSpPr/>
      </xdr:nvSpPr>
      <xdr:spPr>
        <a:xfrm rot="-5400000">
          <a:off x="3528187" y="9024620"/>
          <a:ext cx="228600" cy="228600"/>
        </a:xfrm>
        <a:prstGeom prst="triangle">
          <a:avLst/>
        </a:prstGeom>
        <a:solidFill>
          <a:srgbClr val="000080"/>
        </a:solidFill>
        <a:ln w="1270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oneCellAnchor>
    <xdr:from>
      <xdr:col>2</xdr:col>
      <xdr:colOff>299847</xdr:colOff>
      <xdr:row>21</xdr:row>
      <xdr:rowOff>133207</xdr:rowOff>
    </xdr:from>
    <xdr:ext cx="293414" cy="180627"/>
    <xdr:sp macro="_xll.PtreeEvent_ObjectClick" textlink="">
      <xdr:nvSpPr>
        <xdr:cNvPr id="115" name="PTObj_DBranchName_1_19"/>
        <xdr:cNvSpPr txBox="1"/>
      </xdr:nvSpPr>
      <xdr:spPr>
        <a:xfrm>
          <a:off x="2540127" y="9048607"/>
          <a:ext cx="293414" cy="180627"/>
        </a:xfrm>
        <a:prstGeom prst="rect">
          <a:avLst/>
        </a:prstGeom>
        <a:solidFill>
          <a:schemeClr val="lt1"/>
        </a:solidFill>
        <a:ln w="9525" cmpd="sng">
          <a:solidFill>
            <a:srgbClr val="808080"/>
          </a:solidFill>
        </a:ln>
      </xdr:spPr>
      <xdr:style>
        <a:lnRef idx="0">
          <a:scrgbClr r="0" g="0" b="0"/>
        </a:lnRef>
        <a:fillRef idx="0">
          <a:scrgbClr r="0" g="0" b="0"/>
        </a:fillRef>
        <a:effectRef idx="0">
          <a:scrgbClr r="0" g="0" b="0"/>
        </a:effectRef>
        <a:fontRef idx="minor">
          <a:schemeClr val="dk1"/>
        </a:fontRef>
      </xdr:style>
      <xdr:txBody>
        <a:bodyPr vertOverflow="clip" horzOverflow="clip" vert="horz" wrap="none" lIns="27432" tIns="27432" rIns="27432" bIns="27432" rtlCol="0" anchor="ctr">
          <a:spAutoFit/>
        </a:bodyPr>
        <a:lstStyle/>
        <a:p>
          <a:pPr algn="ctr"/>
          <a:r>
            <a:rPr lang="en-US" sz="800"/>
            <a:t>Weak</a:t>
          </a:r>
        </a:p>
      </xdr:txBody>
    </xdr:sp>
    <xdr:clientData/>
  </xdr:oneCellAnchor>
  <xdr:twoCellAnchor editAs="oneCell">
    <xdr:from>
      <xdr:col>3</xdr:col>
      <xdr:colOff>127</xdr:colOff>
      <xdr:row>3</xdr:row>
      <xdr:rowOff>109220</xdr:rowOff>
    </xdr:from>
    <xdr:to>
      <xdr:col>3</xdr:col>
      <xdr:colOff>228727</xdr:colOff>
      <xdr:row>4</xdr:row>
      <xdr:rowOff>132080</xdr:rowOff>
    </xdr:to>
    <xdr:sp macro="_xll.PtreeEvent_ObjectClick" textlink="">
      <xdr:nvSpPr>
        <xdr:cNvPr id="128" name="PTObj_DNode_1_4"/>
        <xdr:cNvSpPr/>
      </xdr:nvSpPr>
      <xdr:spPr>
        <a:xfrm>
          <a:off x="3543427" y="1252220"/>
          <a:ext cx="228600" cy="228600"/>
        </a:xfrm>
        <a:prstGeom prst="ellipse">
          <a:avLst/>
        </a:prstGeom>
        <a:solidFill>
          <a:srgbClr val="800000"/>
        </a:solidFill>
        <a:ln w="1270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oneCellAnchor>
    <xdr:from>
      <xdr:col>2</xdr:col>
      <xdr:colOff>299847</xdr:colOff>
      <xdr:row>3</xdr:row>
      <xdr:rowOff>133207</xdr:rowOff>
    </xdr:from>
    <xdr:ext cx="404406" cy="180627"/>
    <xdr:sp macro="_xll.PtreeEvent_ObjectClick" textlink="">
      <xdr:nvSpPr>
        <xdr:cNvPr id="131" name="PTObj_DBranchName_1_4"/>
        <xdr:cNvSpPr txBox="1"/>
      </xdr:nvSpPr>
      <xdr:spPr>
        <a:xfrm>
          <a:off x="2540127" y="1276207"/>
          <a:ext cx="404406" cy="180627"/>
        </a:xfrm>
        <a:prstGeom prst="rect">
          <a:avLst/>
        </a:prstGeom>
        <a:solidFill>
          <a:schemeClr val="lt1"/>
        </a:solidFill>
        <a:ln w="9525" cmpd="sng">
          <a:solidFill>
            <a:srgbClr val="808080"/>
          </a:solidFill>
        </a:ln>
      </xdr:spPr>
      <xdr:style>
        <a:lnRef idx="0">
          <a:scrgbClr r="0" g="0" b="0"/>
        </a:lnRef>
        <a:fillRef idx="0">
          <a:scrgbClr r="0" g="0" b="0"/>
        </a:fillRef>
        <a:effectRef idx="0">
          <a:scrgbClr r="0" g="0" b="0"/>
        </a:effectRef>
        <a:fontRef idx="minor">
          <a:schemeClr val="dk1"/>
        </a:fontRef>
      </xdr:style>
      <xdr:txBody>
        <a:bodyPr vertOverflow="clip" horzOverflow="clip" vert="horz" wrap="none" lIns="27432" tIns="27432" rIns="27432" bIns="27432" rtlCol="0" anchor="ctr">
          <a:spAutoFit/>
        </a:bodyPr>
        <a:lstStyle/>
        <a:p>
          <a:pPr algn="ctr"/>
          <a:r>
            <a:rPr lang="en-US" sz="800"/>
            <a:t>Improve</a:t>
          </a:r>
        </a:p>
      </xdr:txBody>
    </xdr:sp>
    <xdr:clientData/>
  </xdr:oneCellAnchor>
  <xdr:twoCellAnchor editAs="oneCell">
    <xdr:from>
      <xdr:col>4</xdr:col>
      <xdr:colOff>127</xdr:colOff>
      <xdr:row>1</xdr:row>
      <xdr:rowOff>109220</xdr:rowOff>
    </xdr:from>
    <xdr:to>
      <xdr:col>4</xdr:col>
      <xdr:colOff>228727</xdr:colOff>
      <xdr:row>2</xdr:row>
      <xdr:rowOff>132080</xdr:rowOff>
    </xdr:to>
    <xdr:sp macro="_xll.PtreeEvent_ObjectClick" textlink="">
      <xdr:nvSpPr>
        <xdr:cNvPr id="132" name="PTObj_DNode_1_6"/>
        <xdr:cNvSpPr/>
      </xdr:nvSpPr>
      <xdr:spPr>
        <a:xfrm rot="-5400000">
          <a:off x="4846447" y="795020"/>
          <a:ext cx="228600" cy="228600"/>
        </a:xfrm>
        <a:prstGeom prst="triangle">
          <a:avLst/>
        </a:prstGeom>
        <a:solidFill>
          <a:srgbClr val="000080"/>
        </a:solidFill>
        <a:ln w="1270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oneCellAnchor>
    <xdr:from>
      <xdr:col>3</xdr:col>
      <xdr:colOff>299847</xdr:colOff>
      <xdr:row>1</xdr:row>
      <xdr:rowOff>133207</xdr:rowOff>
    </xdr:from>
    <xdr:ext cx="329001" cy="180627"/>
    <xdr:sp macro="_xll.PtreeEvent_ObjectClick" textlink="">
      <xdr:nvSpPr>
        <xdr:cNvPr id="135" name="PTObj_DBranchName_1_6"/>
        <xdr:cNvSpPr txBox="1"/>
      </xdr:nvSpPr>
      <xdr:spPr>
        <a:xfrm>
          <a:off x="3843147" y="819007"/>
          <a:ext cx="329001" cy="180627"/>
        </a:xfrm>
        <a:prstGeom prst="rect">
          <a:avLst/>
        </a:prstGeom>
        <a:solidFill>
          <a:schemeClr val="lt1"/>
        </a:solidFill>
        <a:ln w="9525" cmpd="sng">
          <a:solidFill>
            <a:srgbClr val="808080"/>
          </a:solidFill>
        </a:ln>
      </xdr:spPr>
      <xdr:style>
        <a:lnRef idx="0">
          <a:scrgbClr r="0" g="0" b="0"/>
        </a:lnRef>
        <a:fillRef idx="0">
          <a:scrgbClr r="0" g="0" b="0"/>
        </a:fillRef>
        <a:effectRef idx="0">
          <a:scrgbClr r="0" g="0" b="0"/>
        </a:effectRef>
        <a:fontRef idx="minor">
          <a:schemeClr val="dk1"/>
        </a:fontRef>
      </xdr:style>
      <xdr:txBody>
        <a:bodyPr vertOverflow="clip" horzOverflow="clip" vert="horz" wrap="none" lIns="27432" tIns="27432" rIns="27432" bIns="27432" rtlCol="0" anchor="ctr">
          <a:spAutoFit/>
        </a:bodyPr>
        <a:lstStyle/>
        <a:p>
          <a:pPr algn="ctr"/>
          <a:r>
            <a:rPr lang="en-US" sz="800"/>
            <a:t>Strong</a:t>
          </a:r>
        </a:p>
      </xdr:txBody>
    </xdr:sp>
    <xdr:clientData/>
  </xdr:oneCellAnchor>
  <xdr:twoCellAnchor editAs="oneCell">
    <xdr:from>
      <xdr:col>4</xdr:col>
      <xdr:colOff>127</xdr:colOff>
      <xdr:row>5</xdr:row>
      <xdr:rowOff>109220</xdr:rowOff>
    </xdr:from>
    <xdr:to>
      <xdr:col>4</xdr:col>
      <xdr:colOff>228727</xdr:colOff>
      <xdr:row>6</xdr:row>
      <xdr:rowOff>132080</xdr:rowOff>
    </xdr:to>
    <xdr:sp macro="_xll.PtreeEvent_ObjectClick" textlink="">
      <xdr:nvSpPr>
        <xdr:cNvPr id="136" name="PTObj_DNode_1_7"/>
        <xdr:cNvSpPr/>
      </xdr:nvSpPr>
      <xdr:spPr>
        <a:xfrm rot="-5400000">
          <a:off x="4846447" y="1709420"/>
          <a:ext cx="228600" cy="228600"/>
        </a:xfrm>
        <a:prstGeom prst="triangle">
          <a:avLst/>
        </a:prstGeom>
        <a:solidFill>
          <a:srgbClr val="000080"/>
        </a:solidFill>
        <a:ln w="1270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oneCellAnchor>
    <xdr:from>
      <xdr:col>3</xdr:col>
      <xdr:colOff>299847</xdr:colOff>
      <xdr:row>5</xdr:row>
      <xdr:rowOff>133207</xdr:rowOff>
    </xdr:from>
    <xdr:ext cx="293414" cy="180627"/>
    <xdr:sp macro="_xll.PtreeEvent_ObjectClick" textlink="">
      <xdr:nvSpPr>
        <xdr:cNvPr id="139" name="PTObj_DBranchName_1_7"/>
        <xdr:cNvSpPr txBox="1"/>
      </xdr:nvSpPr>
      <xdr:spPr>
        <a:xfrm>
          <a:off x="3843147" y="1733407"/>
          <a:ext cx="293414" cy="180627"/>
        </a:xfrm>
        <a:prstGeom prst="rect">
          <a:avLst/>
        </a:prstGeom>
        <a:solidFill>
          <a:schemeClr val="lt1"/>
        </a:solidFill>
        <a:ln w="9525" cmpd="sng">
          <a:solidFill>
            <a:srgbClr val="808080"/>
          </a:solidFill>
        </a:ln>
      </xdr:spPr>
      <xdr:style>
        <a:lnRef idx="0">
          <a:scrgbClr r="0" g="0" b="0"/>
        </a:lnRef>
        <a:fillRef idx="0">
          <a:scrgbClr r="0" g="0" b="0"/>
        </a:fillRef>
        <a:effectRef idx="0">
          <a:scrgbClr r="0" g="0" b="0"/>
        </a:effectRef>
        <a:fontRef idx="minor">
          <a:schemeClr val="dk1"/>
        </a:fontRef>
      </xdr:style>
      <xdr:txBody>
        <a:bodyPr vertOverflow="clip" horzOverflow="clip" vert="horz" wrap="none" lIns="27432" tIns="27432" rIns="27432" bIns="27432" rtlCol="0" anchor="ctr">
          <a:spAutoFit/>
        </a:bodyPr>
        <a:lstStyle/>
        <a:p>
          <a:pPr algn="ctr"/>
          <a:r>
            <a:rPr lang="en-US" sz="800"/>
            <a:t>Weak</a:t>
          </a:r>
        </a:p>
      </xdr:txBody>
    </xdr:sp>
    <xdr:clientData/>
  </xdr:oneCellAnchor>
  <xdr:twoCellAnchor editAs="oneCell">
    <xdr:from>
      <xdr:col>3</xdr:col>
      <xdr:colOff>127</xdr:colOff>
      <xdr:row>11</xdr:row>
      <xdr:rowOff>109220</xdr:rowOff>
    </xdr:from>
    <xdr:to>
      <xdr:col>3</xdr:col>
      <xdr:colOff>228727</xdr:colOff>
      <xdr:row>12</xdr:row>
      <xdr:rowOff>132080</xdr:rowOff>
    </xdr:to>
    <xdr:sp macro="_xll.PtreeEvent_ObjectClick" textlink="">
      <xdr:nvSpPr>
        <xdr:cNvPr id="144" name="PTObj_DNode_1_5"/>
        <xdr:cNvSpPr/>
      </xdr:nvSpPr>
      <xdr:spPr>
        <a:xfrm>
          <a:off x="3543427" y="3081020"/>
          <a:ext cx="228600" cy="228600"/>
        </a:xfrm>
        <a:prstGeom prst="ellipse">
          <a:avLst/>
        </a:prstGeom>
        <a:solidFill>
          <a:srgbClr val="800000"/>
        </a:solidFill>
        <a:ln w="1270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oneCellAnchor>
    <xdr:from>
      <xdr:col>2</xdr:col>
      <xdr:colOff>299847</xdr:colOff>
      <xdr:row>11</xdr:row>
      <xdr:rowOff>133207</xdr:rowOff>
    </xdr:from>
    <xdr:ext cx="284630" cy="180627"/>
    <xdr:sp macro="_xll.PtreeEvent_ObjectClick" textlink="">
      <xdr:nvSpPr>
        <xdr:cNvPr id="147" name="PTObj_DBranchName_1_5"/>
        <xdr:cNvSpPr txBox="1"/>
      </xdr:nvSpPr>
      <xdr:spPr>
        <a:xfrm>
          <a:off x="2540127" y="3105007"/>
          <a:ext cx="284630" cy="180627"/>
        </a:xfrm>
        <a:prstGeom prst="rect">
          <a:avLst/>
        </a:prstGeom>
        <a:solidFill>
          <a:schemeClr val="lt1"/>
        </a:solidFill>
        <a:ln w="9525" cmpd="sng">
          <a:solidFill>
            <a:srgbClr val="808080"/>
          </a:solidFill>
        </a:ln>
      </xdr:spPr>
      <xdr:style>
        <a:lnRef idx="0">
          <a:scrgbClr r="0" g="0" b="0"/>
        </a:lnRef>
        <a:fillRef idx="0">
          <a:scrgbClr r="0" g="0" b="0"/>
        </a:fillRef>
        <a:effectRef idx="0">
          <a:scrgbClr r="0" g="0" b="0"/>
        </a:effectRef>
        <a:fontRef idx="minor">
          <a:schemeClr val="dk1"/>
        </a:fontRef>
      </xdr:style>
      <xdr:txBody>
        <a:bodyPr vertOverflow="clip" horzOverflow="clip" vert="horz" wrap="none" lIns="27432" tIns="27432" rIns="27432" bIns="27432" rtlCol="0" anchor="ctr">
          <a:spAutoFit/>
        </a:bodyPr>
        <a:lstStyle/>
        <a:p>
          <a:pPr algn="ctr"/>
          <a:r>
            <a:rPr lang="en-US" sz="800"/>
            <a:t>Same</a:t>
          </a:r>
        </a:p>
      </xdr:txBody>
    </xdr:sp>
    <xdr:clientData/>
  </xdr:oneCellAnchor>
  <xdr:twoCellAnchor editAs="oneCell">
    <xdr:from>
      <xdr:col>4</xdr:col>
      <xdr:colOff>127</xdr:colOff>
      <xdr:row>9</xdr:row>
      <xdr:rowOff>109220</xdr:rowOff>
    </xdr:from>
    <xdr:to>
      <xdr:col>4</xdr:col>
      <xdr:colOff>228727</xdr:colOff>
      <xdr:row>10</xdr:row>
      <xdr:rowOff>132080</xdr:rowOff>
    </xdr:to>
    <xdr:sp macro="_xll.PtreeEvent_ObjectClick" textlink="">
      <xdr:nvSpPr>
        <xdr:cNvPr id="148" name="PTObj_DNode_1_8"/>
        <xdr:cNvSpPr/>
      </xdr:nvSpPr>
      <xdr:spPr>
        <a:xfrm rot="-5400000">
          <a:off x="4846447" y="2623820"/>
          <a:ext cx="228600" cy="228600"/>
        </a:xfrm>
        <a:prstGeom prst="triangle">
          <a:avLst/>
        </a:prstGeom>
        <a:solidFill>
          <a:srgbClr val="000080"/>
        </a:solidFill>
        <a:ln w="1270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oneCellAnchor>
    <xdr:from>
      <xdr:col>3</xdr:col>
      <xdr:colOff>299847</xdr:colOff>
      <xdr:row>9</xdr:row>
      <xdr:rowOff>133207</xdr:rowOff>
    </xdr:from>
    <xdr:ext cx="329001" cy="180627"/>
    <xdr:sp macro="_xll.PtreeEvent_ObjectClick" textlink="">
      <xdr:nvSpPr>
        <xdr:cNvPr id="151" name="PTObj_DBranchName_1_8"/>
        <xdr:cNvSpPr txBox="1"/>
      </xdr:nvSpPr>
      <xdr:spPr>
        <a:xfrm>
          <a:off x="3843147" y="2647807"/>
          <a:ext cx="329001" cy="180627"/>
        </a:xfrm>
        <a:prstGeom prst="rect">
          <a:avLst/>
        </a:prstGeom>
        <a:solidFill>
          <a:schemeClr val="lt1"/>
        </a:solidFill>
        <a:ln w="9525" cmpd="sng">
          <a:solidFill>
            <a:srgbClr val="808080"/>
          </a:solidFill>
        </a:ln>
      </xdr:spPr>
      <xdr:style>
        <a:lnRef idx="0">
          <a:scrgbClr r="0" g="0" b="0"/>
        </a:lnRef>
        <a:fillRef idx="0">
          <a:scrgbClr r="0" g="0" b="0"/>
        </a:fillRef>
        <a:effectRef idx="0">
          <a:scrgbClr r="0" g="0" b="0"/>
        </a:effectRef>
        <a:fontRef idx="minor">
          <a:schemeClr val="dk1"/>
        </a:fontRef>
      </xdr:style>
      <xdr:txBody>
        <a:bodyPr vertOverflow="clip" horzOverflow="clip" vert="horz" wrap="none" lIns="27432" tIns="27432" rIns="27432" bIns="27432" rtlCol="0" anchor="ctr">
          <a:spAutoFit/>
        </a:bodyPr>
        <a:lstStyle/>
        <a:p>
          <a:pPr algn="ctr"/>
          <a:r>
            <a:rPr lang="en-US" sz="800"/>
            <a:t>Strong</a:t>
          </a:r>
        </a:p>
      </xdr:txBody>
    </xdr:sp>
    <xdr:clientData/>
  </xdr:oneCellAnchor>
  <xdr:twoCellAnchor editAs="oneCell">
    <xdr:from>
      <xdr:col>4</xdr:col>
      <xdr:colOff>127</xdr:colOff>
      <xdr:row>13</xdr:row>
      <xdr:rowOff>109220</xdr:rowOff>
    </xdr:from>
    <xdr:to>
      <xdr:col>4</xdr:col>
      <xdr:colOff>228727</xdr:colOff>
      <xdr:row>14</xdr:row>
      <xdr:rowOff>132080</xdr:rowOff>
    </xdr:to>
    <xdr:sp macro="_xll.PtreeEvent_ObjectClick" textlink="">
      <xdr:nvSpPr>
        <xdr:cNvPr id="152" name="PTObj_DNode_1_9"/>
        <xdr:cNvSpPr/>
      </xdr:nvSpPr>
      <xdr:spPr>
        <a:xfrm rot="-5400000">
          <a:off x="4846447" y="3538220"/>
          <a:ext cx="228600" cy="228600"/>
        </a:xfrm>
        <a:prstGeom prst="triangle">
          <a:avLst/>
        </a:prstGeom>
        <a:solidFill>
          <a:srgbClr val="000080"/>
        </a:solidFill>
        <a:ln w="1270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oneCellAnchor>
    <xdr:from>
      <xdr:col>3</xdr:col>
      <xdr:colOff>299847</xdr:colOff>
      <xdr:row>13</xdr:row>
      <xdr:rowOff>133207</xdr:rowOff>
    </xdr:from>
    <xdr:ext cx="293414" cy="180627"/>
    <xdr:sp macro="_xll.PtreeEvent_ObjectClick" textlink="">
      <xdr:nvSpPr>
        <xdr:cNvPr id="155" name="PTObj_DBranchName_1_9"/>
        <xdr:cNvSpPr txBox="1"/>
      </xdr:nvSpPr>
      <xdr:spPr>
        <a:xfrm>
          <a:off x="3843147" y="3562207"/>
          <a:ext cx="293414" cy="180627"/>
        </a:xfrm>
        <a:prstGeom prst="rect">
          <a:avLst/>
        </a:prstGeom>
        <a:solidFill>
          <a:schemeClr val="lt1"/>
        </a:solidFill>
        <a:ln w="9525" cmpd="sng">
          <a:solidFill>
            <a:srgbClr val="808080"/>
          </a:solidFill>
        </a:ln>
      </xdr:spPr>
      <xdr:style>
        <a:lnRef idx="0">
          <a:scrgbClr r="0" g="0" b="0"/>
        </a:lnRef>
        <a:fillRef idx="0">
          <a:scrgbClr r="0" g="0" b="0"/>
        </a:fillRef>
        <a:effectRef idx="0">
          <a:scrgbClr r="0" g="0" b="0"/>
        </a:effectRef>
        <a:fontRef idx="minor">
          <a:schemeClr val="dk1"/>
        </a:fontRef>
      </xdr:style>
      <xdr:txBody>
        <a:bodyPr vertOverflow="clip" horzOverflow="clip" vert="horz" wrap="none" lIns="27432" tIns="27432" rIns="27432" bIns="27432" rtlCol="0" anchor="ctr">
          <a:spAutoFit/>
        </a:bodyPr>
        <a:lstStyle/>
        <a:p>
          <a:pPr algn="ctr"/>
          <a:r>
            <a:rPr lang="en-US" sz="800"/>
            <a:t>Weak</a:t>
          </a:r>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8</xdr:col>
      <xdr:colOff>558800</xdr:colOff>
      <xdr:row>29</xdr:row>
      <xdr:rowOff>176530</xdr:rowOff>
    </xdr:to>
    <xdr:graphicFrame macro="">
      <xdr:nvGraphicFramePr>
        <xdr:cNvPr id="6"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9</xdr:col>
      <xdr:colOff>0</xdr:colOff>
      <xdr:row>0</xdr:row>
      <xdr:rowOff>0</xdr:rowOff>
    </xdr:from>
    <xdr:to>
      <xdr:col>17</xdr:col>
      <xdr:colOff>558800</xdr:colOff>
      <xdr:row>29</xdr:row>
      <xdr:rowOff>176530</xdr:rowOff>
    </xdr:to>
    <xdr:graphicFrame macro="">
      <xdr:nvGraphicFramePr>
        <xdr:cNvPr id="7" name="Chart 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Book2"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nsitivity C4, D2"/>
      <sheetName val="Strategy Region C4, D2"/>
    </sheetNames>
    <sheetDataSet>
      <sheetData sheetId="0">
        <row r="42">
          <cell r="D42">
            <v>0.6</v>
          </cell>
          <cell r="E42">
            <v>0.64</v>
          </cell>
          <cell r="F42">
            <v>0.67999999999999994</v>
          </cell>
          <cell r="G42">
            <v>0.72</v>
          </cell>
          <cell r="H42">
            <v>0.76</v>
          </cell>
          <cell r="I42">
            <v>0.8</v>
          </cell>
          <cell r="J42">
            <v>0.84</v>
          </cell>
          <cell r="K42">
            <v>0.88</v>
          </cell>
          <cell r="L42">
            <v>0.92</v>
          </cell>
          <cell r="M42">
            <v>0.96</v>
          </cell>
          <cell r="N42">
            <v>1</v>
          </cell>
        </row>
        <row r="43">
          <cell r="C43">
            <v>0.44999999999999996</v>
          </cell>
          <cell r="D43">
            <v>6246.5172316973694</v>
          </cell>
          <cell r="E43">
            <v>6246.5172316973694</v>
          </cell>
          <cell r="F43">
            <v>6246.5172316973694</v>
          </cell>
          <cell r="G43">
            <v>6246.5172316973694</v>
          </cell>
          <cell r="H43">
            <v>6848.8439257516766</v>
          </cell>
          <cell r="I43">
            <v>7469.7802530976041</v>
          </cell>
          <cell r="J43">
            <v>8090.7165804435281</v>
          </cell>
          <cell r="K43">
            <v>8711.6529077894538</v>
          </cell>
          <cell r="L43">
            <v>9332.5892351353814</v>
          </cell>
          <cell r="M43">
            <v>9953.5255624813035</v>
          </cell>
          <cell r="N43">
            <v>10574.461889827231</v>
          </cell>
        </row>
        <row r="44">
          <cell r="C44">
            <v>0.48</v>
          </cell>
          <cell r="D44">
            <v>6246.5172316973694</v>
          </cell>
          <cell r="E44">
            <v>6246.5172316973694</v>
          </cell>
          <cell r="F44">
            <v>6246.5172316973694</v>
          </cell>
          <cell r="G44">
            <v>6246.5172316973694</v>
          </cell>
          <cell r="H44">
            <v>6621.0988609749111</v>
          </cell>
          <cell r="I44">
            <v>7233.9888297691659</v>
          </cell>
          <cell r="J44">
            <v>7846.8787985634171</v>
          </cell>
          <cell r="K44">
            <v>8459.7687673576729</v>
          </cell>
          <cell r="L44">
            <v>9072.6587361519269</v>
          </cell>
          <cell r="M44">
            <v>9685.5487049461808</v>
          </cell>
          <cell r="N44">
            <v>10298.438673740435</v>
          </cell>
        </row>
        <row r="45">
          <cell r="C45">
            <v>0.51</v>
          </cell>
          <cell r="D45">
            <v>6246.5172316973694</v>
          </cell>
          <cell r="E45">
            <v>6246.5172316973694</v>
          </cell>
          <cell r="F45">
            <v>6246.5172316973694</v>
          </cell>
          <cell r="G45">
            <v>6246.5172316973694</v>
          </cell>
          <cell r="H45">
            <v>6393.3537961981447</v>
          </cell>
          <cell r="I45">
            <v>6998.1974064407268</v>
          </cell>
          <cell r="J45">
            <v>7603.041016683308</v>
          </cell>
          <cell r="K45">
            <v>8207.8846269258902</v>
          </cell>
          <cell r="L45">
            <v>8812.7282371684742</v>
          </cell>
          <cell r="M45">
            <v>9417.5718474110563</v>
          </cell>
          <cell r="N45">
            <v>10022.415457653638</v>
          </cell>
        </row>
        <row r="46">
          <cell r="C46">
            <v>0.53999999999999992</v>
          </cell>
          <cell r="D46">
            <v>6246.5172316973694</v>
          </cell>
          <cell r="E46">
            <v>6246.5172316973694</v>
          </cell>
          <cell r="F46">
            <v>6246.5172316973694</v>
          </cell>
          <cell r="G46">
            <v>6246.5172316973694</v>
          </cell>
          <cell r="H46">
            <v>6246.5172316973694</v>
          </cell>
          <cell r="I46">
            <v>6762.4059831122895</v>
          </cell>
          <cell r="J46">
            <v>7359.2032348031989</v>
          </cell>
          <cell r="K46">
            <v>7956.0004864941102</v>
          </cell>
          <cell r="L46">
            <v>8552.7977381850214</v>
          </cell>
          <cell r="M46">
            <v>9149.59498987593</v>
          </cell>
          <cell r="N46">
            <v>9746.3922415668421</v>
          </cell>
        </row>
        <row r="47">
          <cell r="C47">
            <v>0.56999999999999995</v>
          </cell>
          <cell r="D47">
            <v>6246.5172316973694</v>
          </cell>
          <cell r="E47">
            <v>6246.5172316973694</v>
          </cell>
          <cell r="F47">
            <v>6246.5172316973694</v>
          </cell>
          <cell r="G47">
            <v>6246.5172316973694</v>
          </cell>
          <cell r="H47">
            <v>6246.5172316973694</v>
          </cell>
          <cell r="I47">
            <v>6526.6145597838504</v>
          </cell>
          <cell r="J47">
            <v>7115.365452923088</v>
          </cell>
          <cell r="K47">
            <v>7704.1163460623284</v>
          </cell>
          <cell r="L47">
            <v>8292.8672392015669</v>
          </cell>
          <cell r="M47">
            <v>8881.6181323408036</v>
          </cell>
          <cell r="N47">
            <v>9470.369025480044</v>
          </cell>
        </row>
        <row r="48">
          <cell r="C48">
            <v>0.6</v>
          </cell>
          <cell r="D48">
            <v>6246.5172316973694</v>
          </cell>
          <cell r="E48">
            <v>6246.5172316973694</v>
          </cell>
          <cell r="F48">
            <v>6246.5172316973694</v>
          </cell>
          <cell r="G48">
            <v>6246.5172316973694</v>
          </cell>
          <cell r="H48">
            <v>6246.5172316973694</v>
          </cell>
          <cell r="I48">
            <v>6290.8231364554122</v>
          </cell>
          <cell r="J48">
            <v>6871.527671042978</v>
          </cell>
          <cell r="K48">
            <v>7452.2322056305456</v>
          </cell>
          <cell r="L48">
            <v>8032.9367402181142</v>
          </cell>
          <cell r="M48">
            <v>8613.641274805681</v>
          </cell>
          <cell r="N48">
            <v>9194.3458093932477</v>
          </cell>
        </row>
        <row r="49">
          <cell r="C49">
            <v>0.63</v>
          </cell>
          <cell r="D49">
            <v>6246.5172316973694</v>
          </cell>
          <cell r="E49">
            <v>6246.5172316973694</v>
          </cell>
          <cell r="F49">
            <v>6246.5172316973694</v>
          </cell>
          <cell r="G49">
            <v>6246.5172316973694</v>
          </cell>
          <cell r="H49">
            <v>6246.5172316973694</v>
          </cell>
          <cell r="I49">
            <v>6246.5172316973694</v>
          </cell>
          <cell r="J49">
            <v>6627.6898891628671</v>
          </cell>
          <cell r="K49">
            <v>7200.3480651987629</v>
          </cell>
          <cell r="L49">
            <v>7773.0062412346588</v>
          </cell>
          <cell r="M49">
            <v>8345.6644172705546</v>
          </cell>
          <cell r="N49">
            <v>8918.3225933064496</v>
          </cell>
        </row>
        <row r="50">
          <cell r="C50">
            <v>0.66</v>
          </cell>
          <cell r="D50">
            <v>6246.5172316973694</v>
          </cell>
          <cell r="E50">
            <v>6246.5172316973694</v>
          </cell>
          <cell r="F50">
            <v>6246.5172316973694</v>
          </cell>
          <cell r="G50">
            <v>6246.5172316973694</v>
          </cell>
          <cell r="H50">
            <v>6246.5172316973694</v>
          </cell>
          <cell r="I50">
            <v>6246.5172316973694</v>
          </cell>
          <cell r="J50">
            <v>6383.852107282758</v>
          </cell>
          <cell r="K50">
            <v>6948.463924766982</v>
          </cell>
          <cell r="L50">
            <v>7513.0757422512061</v>
          </cell>
          <cell r="M50">
            <v>8077.6875597354292</v>
          </cell>
          <cell r="N50">
            <v>8642.2993772196533</v>
          </cell>
        </row>
        <row r="51">
          <cell r="C51">
            <v>0.69</v>
          </cell>
          <cell r="D51">
            <v>6246.5172316973694</v>
          </cell>
          <cell r="E51">
            <v>6246.5172316973694</v>
          </cell>
          <cell r="F51">
            <v>6246.5172316973694</v>
          </cell>
          <cell r="G51">
            <v>6246.5172316973694</v>
          </cell>
          <cell r="H51">
            <v>6246.5172316973694</v>
          </cell>
          <cell r="I51">
            <v>6246.5172316973694</v>
          </cell>
          <cell r="J51">
            <v>6246.5172316973694</v>
          </cell>
          <cell r="K51">
            <v>6696.5797843352002</v>
          </cell>
          <cell r="L51">
            <v>7253.1452432677534</v>
          </cell>
          <cell r="M51">
            <v>7809.7107022003038</v>
          </cell>
          <cell r="N51">
            <v>8366.2761611328569</v>
          </cell>
        </row>
        <row r="52">
          <cell r="C52">
            <v>0.72</v>
          </cell>
          <cell r="D52">
            <v>6246.5172316973694</v>
          </cell>
          <cell r="E52">
            <v>6246.5172316973694</v>
          </cell>
          <cell r="F52">
            <v>6246.5172316973694</v>
          </cell>
          <cell r="G52">
            <v>6246.5172316973694</v>
          </cell>
          <cell r="H52">
            <v>6246.5172316973694</v>
          </cell>
          <cell r="I52">
            <v>6246.5172316973694</v>
          </cell>
          <cell r="J52">
            <v>6246.5172316973694</v>
          </cell>
          <cell r="K52">
            <v>6444.6956439034184</v>
          </cell>
          <cell r="L52">
            <v>6993.2147442842988</v>
          </cell>
          <cell r="M52">
            <v>7541.7338446651784</v>
          </cell>
          <cell r="N52">
            <v>8090.2529450460588</v>
          </cell>
        </row>
        <row r="53">
          <cell r="C53">
            <v>0.75</v>
          </cell>
          <cell r="D53">
            <v>6246.5172316973694</v>
          </cell>
          <cell r="E53">
            <v>6246.5172316973694</v>
          </cell>
          <cell r="F53">
            <v>6246.5172316973694</v>
          </cell>
          <cell r="G53">
            <v>6246.5172316973694</v>
          </cell>
          <cell r="H53">
            <v>6246.5172316973694</v>
          </cell>
          <cell r="I53">
            <v>6246.5172316973694</v>
          </cell>
          <cell r="J53">
            <v>6246.5172316973694</v>
          </cell>
          <cell r="K53">
            <v>6246.5172316973694</v>
          </cell>
          <cell r="L53">
            <v>6733.2842453008452</v>
          </cell>
          <cell r="M53">
            <v>7273.756987130052</v>
          </cell>
          <cell r="N53">
            <v>7814.2297289592616</v>
          </cell>
        </row>
      </sheetData>
      <sheetData sheetId="1">
        <row r="42">
          <cell r="B42">
            <v>0.76</v>
          </cell>
          <cell r="C42">
            <v>0.44999999999999996</v>
          </cell>
          <cell r="D42">
            <v>0.6</v>
          </cell>
          <cell r="E42">
            <v>0.44999999999999996</v>
          </cell>
        </row>
        <row r="43">
          <cell r="B43">
            <v>0.76</v>
          </cell>
          <cell r="C43">
            <v>0.48</v>
          </cell>
          <cell r="D43">
            <v>0.6</v>
          </cell>
          <cell r="E43">
            <v>0.48</v>
          </cell>
        </row>
        <row r="44">
          <cell r="B44">
            <v>0.76</v>
          </cell>
          <cell r="C44">
            <v>0.51</v>
          </cell>
          <cell r="D44">
            <v>0.6</v>
          </cell>
          <cell r="E44">
            <v>0.51</v>
          </cell>
        </row>
        <row r="45">
          <cell r="B45">
            <v>0.8</v>
          </cell>
          <cell r="C45">
            <v>0.44999999999999996</v>
          </cell>
          <cell r="D45">
            <v>0.6</v>
          </cell>
          <cell r="E45">
            <v>0.53999999999999992</v>
          </cell>
        </row>
        <row r="46">
          <cell r="B46">
            <v>0.8</v>
          </cell>
          <cell r="C46">
            <v>0.48</v>
          </cell>
          <cell r="D46">
            <v>0.6</v>
          </cell>
          <cell r="E46">
            <v>0.56999999999999995</v>
          </cell>
        </row>
        <row r="47">
          <cell r="B47">
            <v>0.8</v>
          </cell>
          <cell r="C47">
            <v>0.51</v>
          </cell>
          <cell r="D47">
            <v>0.6</v>
          </cell>
          <cell r="E47">
            <v>0.6</v>
          </cell>
        </row>
        <row r="48">
          <cell r="B48">
            <v>0.8</v>
          </cell>
          <cell r="C48">
            <v>0.53999999999999992</v>
          </cell>
          <cell r="D48">
            <v>0.6</v>
          </cell>
          <cell r="E48">
            <v>0.63</v>
          </cell>
        </row>
        <row r="49">
          <cell r="B49">
            <v>0.8</v>
          </cell>
          <cell r="C49">
            <v>0.56999999999999995</v>
          </cell>
          <cell r="D49">
            <v>0.6</v>
          </cell>
          <cell r="E49">
            <v>0.66</v>
          </cell>
        </row>
        <row r="50">
          <cell r="B50">
            <v>0.8</v>
          </cell>
          <cell r="C50">
            <v>0.6</v>
          </cell>
          <cell r="D50">
            <v>0.6</v>
          </cell>
          <cell r="E50">
            <v>0.69</v>
          </cell>
        </row>
        <row r="51">
          <cell r="B51">
            <v>0.84</v>
          </cell>
          <cell r="C51">
            <v>0.44999999999999996</v>
          </cell>
          <cell r="D51">
            <v>0.6</v>
          </cell>
          <cell r="E51">
            <v>0.72</v>
          </cell>
        </row>
        <row r="52">
          <cell r="B52">
            <v>0.84</v>
          </cell>
          <cell r="C52">
            <v>0.48</v>
          </cell>
          <cell r="D52">
            <v>0.6</v>
          </cell>
          <cell r="E52">
            <v>0.75</v>
          </cell>
        </row>
        <row r="53">
          <cell r="B53">
            <v>0.84</v>
          </cell>
          <cell r="C53">
            <v>0.51</v>
          </cell>
          <cell r="D53">
            <v>0.64</v>
          </cell>
          <cell r="E53">
            <v>0.44999999999999996</v>
          </cell>
        </row>
        <row r="54">
          <cell r="B54">
            <v>0.84</v>
          </cell>
          <cell r="C54">
            <v>0.53999999999999992</v>
          </cell>
          <cell r="D54">
            <v>0.64</v>
          </cell>
          <cell r="E54">
            <v>0.48</v>
          </cell>
        </row>
        <row r="55">
          <cell r="B55">
            <v>0.84</v>
          </cell>
          <cell r="C55">
            <v>0.56999999999999995</v>
          </cell>
          <cell r="D55">
            <v>0.64</v>
          </cell>
          <cell r="E55">
            <v>0.51</v>
          </cell>
        </row>
        <row r="56">
          <cell r="B56">
            <v>0.84</v>
          </cell>
          <cell r="C56">
            <v>0.6</v>
          </cell>
          <cell r="D56">
            <v>0.64</v>
          </cell>
          <cell r="E56">
            <v>0.53999999999999992</v>
          </cell>
        </row>
        <row r="57">
          <cell r="B57">
            <v>0.84</v>
          </cell>
          <cell r="C57">
            <v>0.63</v>
          </cell>
          <cell r="D57">
            <v>0.64</v>
          </cell>
          <cell r="E57">
            <v>0.56999999999999995</v>
          </cell>
        </row>
        <row r="58">
          <cell r="B58">
            <v>0.84</v>
          </cell>
          <cell r="C58">
            <v>0.66</v>
          </cell>
          <cell r="D58">
            <v>0.64</v>
          </cell>
          <cell r="E58">
            <v>0.6</v>
          </cell>
        </row>
        <row r="59">
          <cell r="B59">
            <v>0.88</v>
          </cell>
          <cell r="C59">
            <v>0.44999999999999996</v>
          </cell>
          <cell r="D59">
            <v>0.64</v>
          </cell>
          <cell r="E59">
            <v>0.63</v>
          </cell>
        </row>
        <row r="60">
          <cell r="B60">
            <v>0.88</v>
          </cell>
          <cell r="C60">
            <v>0.48</v>
          </cell>
          <cell r="D60">
            <v>0.64</v>
          </cell>
          <cell r="E60">
            <v>0.66</v>
          </cell>
        </row>
        <row r="61">
          <cell r="B61">
            <v>0.88</v>
          </cell>
          <cell r="C61">
            <v>0.51</v>
          </cell>
          <cell r="D61">
            <v>0.64</v>
          </cell>
          <cell r="E61">
            <v>0.69</v>
          </cell>
        </row>
        <row r="62">
          <cell r="B62">
            <v>0.88</v>
          </cell>
          <cell r="C62">
            <v>0.53999999999999992</v>
          </cell>
          <cell r="D62">
            <v>0.64</v>
          </cell>
          <cell r="E62">
            <v>0.72</v>
          </cell>
        </row>
        <row r="63">
          <cell r="B63">
            <v>0.88</v>
          </cell>
          <cell r="C63">
            <v>0.56999999999999995</v>
          </cell>
          <cell r="D63">
            <v>0.64</v>
          </cell>
          <cell r="E63">
            <v>0.75</v>
          </cell>
        </row>
        <row r="64">
          <cell r="B64">
            <v>0.88</v>
          </cell>
          <cell r="C64">
            <v>0.6</v>
          </cell>
          <cell r="D64">
            <v>0.67999999999999994</v>
          </cell>
          <cell r="E64">
            <v>0.44999999999999996</v>
          </cell>
        </row>
        <row r="65">
          <cell r="B65">
            <v>0.88</v>
          </cell>
          <cell r="C65">
            <v>0.63</v>
          </cell>
          <cell r="D65">
            <v>0.67999999999999994</v>
          </cell>
          <cell r="E65">
            <v>0.48</v>
          </cell>
        </row>
        <row r="66">
          <cell r="B66">
            <v>0.88</v>
          </cell>
          <cell r="C66">
            <v>0.66</v>
          </cell>
          <cell r="D66">
            <v>0.67999999999999994</v>
          </cell>
          <cell r="E66">
            <v>0.51</v>
          </cell>
        </row>
        <row r="67">
          <cell r="B67">
            <v>0.88</v>
          </cell>
          <cell r="C67">
            <v>0.69</v>
          </cell>
          <cell r="D67">
            <v>0.67999999999999994</v>
          </cell>
          <cell r="E67">
            <v>0.53999999999999992</v>
          </cell>
        </row>
        <row r="68">
          <cell r="B68">
            <v>0.88</v>
          </cell>
          <cell r="C68">
            <v>0.72</v>
          </cell>
          <cell r="D68">
            <v>0.67999999999999994</v>
          </cell>
          <cell r="E68">
            <v>0.56999999999999995</v>
          </cell>
        </row>
        <row r="69">
          <cell r="B69">
            <v>0.92</v>
          </cell>
          <cell r="C69">
            <v>0.44999999999999996</v>
          </cell>
          <cell r="D69">
            <v>0.67999999999999994</v>
          </cell>
          <cell r="E69">
            <v>0.6</v>
          </cell>
        </row>
        <row r="70">
          <cell r="B70">
            <v>0.92</v>
          </cell>
          <cell r="C70">
            <v>0.48</v>
          </cell>
          <cell r="D70">
            <v>0.67999999999999994</v>
          </cell>
          <cell r="E70">
            <v>0.63</v>
          </cell>
        </row>
        <row r="71">
          <cell r="B71">
            <v>0.92</v>
          </cell>
          <cell r="C71">
            <v>0.51</v>
          </cell>
          <cell r="D71">
            <v>0.67999999999999994</v>
          </cell>
          <cell r="E71">
            <v>0.66</v>
          </cell>
        </row>
        <row r="72">
          <cell r="B72">
            <v>0.92</v>
          </cell>
          <cell r="C72">
            <v>0.53999999999999992</v>
          </cell>
          <cell r="D72">
            <v>0.67999999999999994</v>
          </cell>
          <cell r="E72">
            <v>0.69</v>
          </cell>
        </row>
        <row r="73">
          <cell r="B73">
            <v>0.92</v>
          </cell>
          <cell r="C73">
            <v>0.56999999999999995</v>
          </cell>
          <cell r="D73">
            <v>0.67999999999999994</v>
          </cell>
          <cell r="E73">
            <v>0.72</v>
          </cell>
        </row>
        <row r="74">
          <cell r="B74">
            <v>0.92</v>
          </cell>
          <cell r="C74">
            <v>0.6</v>
          </cell>
          <cell r="D74">
            <v>0.67999999999999994</v>
          </cell>
          <cell r="E74">
            <v>0.75</v>
          </cell>
        </row>
        <row r="75">
          <cell r="B75">
            <v>0.92</v>
          </cell>
          <cell r="C75">
            <v>0.63</v>
          </cell>
          <cell r="D75">
            <v>0.72</v>
          </cell>
          <cell r="E75">
            <v>0.44999999999999996</v>
          </cell>
        </row>
        <row r="76">
          <cell r="B76">
            <v>0.92</v>
          </cell>
          <cell r="C76">
            <v>0.66</v>
          </cell>
          <cell r="D76">
            <v>0.72</v>
          </cell>
          <cell r="E76">
            <v>0.48</v>
          </cell>
        </row>
        <row r="77">
          <cell r="B77">
            <v>0.92</v>
          </cell>
          <cell r="C77">
            <v>0.69</v>
          </cell>
          <cell r="D77">
            <v>0.72</v>
          </cell>
          <cell r="E77">
            <v>0.51</v>
          </cell>
        </row>
        <row r="78">
          <cell r="B78">
            <v>0.92</v>
          </cell>
          <cell r="C78">
            <v>0.72</v>
          </cell>
          <cell r="D78">
            <v>0.72</v>
          </cell>
          <cell r="E78">
            <v>0.53999999999999992</v>
          </cell>
        </row>
        <row r="79">
          <cell r="B79">
            <v>0.92</v>
          </cell>
          <cell r="C79">
            <v>0.75</v>
          </cell>
          <cell r="D79">
            <v>0.72</v>
          </cell>
          <cell r="E79">
            <v>0.56999999999999995</v>
          </cell>
        </row>
        <row r="80">
          <cell r="B80">
            <v>0.96</v>
          </cell>
          <cell r="C80">
            <v>0.44999999999999996</v>
          </cell>
          <cell r="D80">
            <v>0.72</v>
          </cell>
          <cell r="E80">
            <v>0.6</v>
          </cell>
        </row>
        <row r="81">
          <cell r="B81">
            <v>0.96</v>
          </cell>
          <cell r="C81">
            <v>0.48</v>
          </cell>
          <cell r="D81">
            <v>0.72</v>
          </cell>
          <cell r="E81">
            <v>0.63</v>
          </cell>
        </row>
        <row r="82">
          <cell r="B82">
            <v>0.96</v>
          </cell>
          <cell r="C82">
            <v>0.51</v>
          </cell>
          <cell r="D82">
            <v>0.72</v>
          </cell>
          <cell r="E82">
            <v>0.66</v>
          </cell>
        </row>
        <row r="83">
          <cell r="B83">
            <v>0.96</v>
          </cell>
          <cell r="C83">
            <v>0.53999999999999992</v>
          </cell>
          <cell r="D83">
            <v>0.72</v>
          </cell>
          <cell r="E83">
            <v>0.69</v>
          </cell>
        </row>
        <row r="84">
          <cell r="B84">
            <v>0.96</v>
          </cell>
          <cell r="C84">
            <v>0.56999999999999995</v>
          </cell>
          <cell r="D84">
            <v>0.72</v>
          </cell>
          <cell r="E84">
            <v>0.72</v>
          </cell>
        </row>
        <row r="85">
          <cell r="B85">
            <v>0.96</v>
          </cell>
          <cell r="C85">
            <v>0.6</v>
          </cell>
          <cell r="D85">
            <v>0.72</v>
          </cell>
          <cell r="E85">
            <v>0.75</v>
          </cell>
        </row>
        <row r="86">
          <cell r="B86">
            <v>0.96</v>
          </cell>
          <cell r="C86">
            <v>0.63</v>
          </cell>
          <cell r="D86">
            <v>0.76</v>
          </cell>
          <cell r="E86">
            <v>0.53999999999999992</v>
          </cell>
        </row>
        <row r="87">
          <cell r="B87">
            <v>0.96</v>
          </cell>
          <cell r="C87">
            <v>0.66</v>
          </cell>
          <cell r="D87">
            <v>0.76</v>
          </cell>
          <cell r="E87">
            <v>0.56999999999999995</v>
          </cell>
        </row>
        <row r="88">
          <cell r="B88">
            <v>0.96</v>
          </cell>
          <cell r="C88">
            <v>0.69</v>
          </cell>
          <cell r="D88">
            <v>0.76</v>
          </cell>
          <cell r="E88">
            <v>0.6</v>
          </cell>
        </row>
        <row r="89">
          <cell r="B89">
            <v>0.96</v>
          </cell>
          <cell r="C89">
            <v>0.72</v>
          </cell>
          <cell r="D89">
            <v>0.76</v>
          </cell>
          <cell r="E89">
            <v>0.63</v>
          </cell>
        </row>
        <row r="90">
          <cell r="B90">
            <v>0.96</v>
          </cell>
          <cell r="C90">
            <v>0.75</v>
          </cell>
          <cell r="D90">
            <v>0.76</v>
          </cell>
          <cell r="E90">
            <v>0.66</v>
          </cell>
        </row>
        <row r="91">
          <cell r="B91">
            <v>1</v>
          </cell>
          <cell r="C91">
            <v>0.44999999999999996</v>
          </cell>
          <cell r="D91">
            <v>0.76</v>
          </cell>
          <cell r="E91">
            <v>0.69</v>
          </cell>
        </row>
        <row r="92">
          <cell r="B92">
            <v>1</v>
          </cell>
          <cell r="C92">
            <v>0.48</v>
          </cell>
          <cell r="D92">
            <v>0.76</v>
          </cell>
          <cell r="E92">
            <v>0.72</v>
          </cell>
        </row>
        <row r="93">
          <cell r="B93">
            <v>1</v>
          </cell>
          <cell r="C93">
            <v>0.51</v>
          </cell>
          <cell r="D93">
            <v>0.76</v>
          </cell>
          <cell r="E93">
            <v>0.75</v>
          </cell>
        </row>
        <row r="94">
          <cell r="B94">
            <v>1</v>
          </cell>
          <cell r="C94">
            <v>0.53999999999999992</v>
          </cell>
          <cell r="D94">
            <v>0.8</v>
          </cell>
          <cell r="E94">
            <v>0.63</v>
          </cell>
        </row>
        <row r="95">
          <cell r="B95">
            <v>1</v>
          </cell>
          <cell r="C95">
            <v>0.56999999999999995</v>
          </cell>
          <cell r="D95">
            <v>0.8</v>
          </cell>
          <cell r="E95">
            <v>0.66</v>
          </cell>
        </row>
        <row r="96">
          <cell r="B96">
            <v>1</v>
          </cell>
          <cell r="C96">
            <v>0.6</v>
          </cell>
          <cell r="D96">
            <v>0.8</v>
          </cell>
          <cell r="E96">
            <v>0.69</v>
          </cell>
        </row>
        <row r="97">
          <cell r="B97">
            <v>1</v>
          </cell>
          <cell r="C97">
            <v>0.63</v>
          </cell>
          <cell r="D97">
            <v>0.8</v>
          </cell>
          <cell r="E97">
            <v>0.72</v>
          </cell>
        </row>
        <row r="98">
          <cell r="B98">
            <v>1</v>
          </cell>
          <cell r="C98">
            <v>0.66</v>
          </cell>
          <cell r="D98">
            <v>0.8</v>
          </cell>
          <cell r="E98">
            <v>0.75</v>
          </cell>
        </row>
        <row r="99">
          <cell r="B99">
            <v>1</v>
          </cell>
          <cell r="C99">
            <v>0.69</v>
          </cell>
          <cell r="D99">
            <v>0.84</v>
          </cell>
          <cell r="E99">
            <v>0.69</v>
          </cell>
        </row>
        <row r="100">
          <cell r="B100">
            <v>1</v>
          </cell>
          <cell r="C100">
            <v>0.72</v>
          </cell>
          <cell r="D100">
            <v>0.84</v>
          </cell>
          <cell r="E100">
            <v>0.72</v>
          </cell>
        </row>
        <row r="101">
          <cell r="B101">
            <v>1</v>
          </cell>
          <cell r="C101">
            <v>0.75</v>
          </cell>
          <cell r="D101">
            <v>0.84</v>
          </cell>
          <cell r="E101">
            <v>0.75</v>
          </cell>
        </row>
        <row r="102">
          <cell r="D102">
            <v>0.88</v>
          </cell>
          <cell r="E102">
            <v>0.75</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image" Target="../media/image1.jpeg"/><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image" Target="../media/image1.jpeg"/><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R200"/>
  <sheetViews>
    <sheetView showGridLines="0" showRowColHeaders="0" tabSelected="1" zoomScale="114" zoomScaleNormal="114" workbookViewId="0">
      <selection activeCell="K6" sqref="K6"/>
    </sheetView>
  </sheetViews>
  <sheetFormatPr defaultColWidth="8.77734375" defaultRowHeight="14.4" x14ac:dyDescent="0.3"/>
  <cols>
    <col min="1" max="1" width="3.6640625" customWidth="1"/>
    <col min="2" max="2" width="10.77734375" bestFit="1" customWidth="1"/>
    <col min="3" max="3" width="8.109375" customWidth="1"/>
    <col min="4" max="4" width="9" customWidth="1"/>
    <col min="5" max="5" width="8.44140625" customWidth="1"/>
    <col min="6" max="10" width="7.77734375" customWidth="1"/>
    <col min="11" max="11" width="8.44140625" customWidth="1"/>
    <col min="12" max="12" width="7.77734375" customWidth="1"/>
    <col min="13" max="14" width="8.109375" customWidth="1"/>
    <col min="15" max="15" width="9.44140625" customWidth="1"/>
  </cols>
  <sheetData>
    <row r="1" spans="2:18" x14ac:dyDescent="0.3">
      <c r="B1" s="2" t="s">
        <v>18</v>
      </c>
    </row>
    <row r="2" spans="2:18" x14ac:dyDescent="0.3">
      <c r="B2" t="s">
        <v>67</v>
      </c>
      <c r="J2" s="14"/>
      <c r="K2" s="14"/>
      <c r="L2" s="14"/>
      <c r="M2" s="14"/>
      <c r="N2" s="14"/>
    </row>
    <row r="3" spans="2:18" x14ac:dyDescent="0.3">
      <c r="B3" t="s">
        <v>37</v>
      </c>
    </row>
    <row r="4" spans="2:18" x14ac:dyDescent="0.3">
      <c r="B4" t="s">
        <v>27</v>
      </c>
    </row>
    <row r="5" spans="2:18" x14ac:dyDescent="0.3">
      <c r="B5" t="s">
        <v>28</v>
      </c>
    </row>
    <row r="6" spans="2:18" x14ac:dyDescent="0.3">
      <c r="B6" t="s">
        <v>35</v>
      </c>
    </row>
    <row r="7" spans="2:18" x14ac:dyDescent="0.3">
      <c r="B7" t="s">
        <v>36</v>
      </c>
    </row>
    <row r="9" spans="2:18" ht="15" thickBot="1" x14ac:dyDescent="0.35">
      <c r="B9" s="6" t="s">
        <v>25</v>
      </c>
      <c r="C9" s="7"/>
      <c r="D9" s="7"/>
      <c r="E9" s="7"/>
      <c r="F9" s="7"/>
      <c r="G9" s="7"/>
      <c r="H9" s="7"/>
      <c r="I9" s="7"/>
      <c r="J9" s="7"/>
      <c r="K9" s="7"/>
      <c r="L9" s="7"/>
      <c r="M9" s="7"/>
      <c r="N9" s="7"/>
      <c r="O9" s="7"/>
    </row>
    <row r="10" spans="2:18" x14ac:dyDescent="0.3">
      <c r="B10" s="17" t="s">
        <v>33</v>
      </c>
      <c r="G10" s="2"/>
      <c r="H10" s="2" t="s">
        <v>69</v>
      </c>
      <c r="I10" s="2"/>
      <c r="J10" s="2"/>
      <c r="K10" s="2"/>
      <c r="L10" s="2" t="s">
        <v>70</v>
      </c>
      <c r="M10" s="2"/>
      <c r="N10" s="2"/>
    </row>
    <row r="11" spans="2:18" x14ac:dyDescent="0.3">
      <c r="B11" t="str">
        <f>B28</f>
        <v>Scenario (1): Status quo (no Δ #s &amp; no rival)</v>
      </c>
      <c r="F11" s="10">
        <f>D52</f>
        <v>9874.0174906041502</v>
      </c>
      <c r="H11" t="s">
        <v>29</v>
      </c>
      <c r="K11" s="19">
        <v>0.3</v>
      </c>
      <c r="L11" t="s">
        <v>71</v>
      </c>
      <c r="O11" s="19">
        <v>0.4</v>
      </c>
      <c r="R11" s="4"/>
    </row>
    <row r="12" spans="2:18" x14ac:dyDescent="0.3">
      <c r="B12" t="str">
        <f>B57</f>
        <v>Scenario (2): Best (Better #s &amp; no rival)</v>
      </c>
      <c r="F12" s="10">
        <f>D81</f>
        <v>28414.810131129187</v>
      </c>
      <c r="H12" t="s">
        <v>30</v>
      </c>
      <c r="K12" s="19">
        <v>0.5</v>
      </c>
      <c r="L12" t="s">
        <v>72</v>
      </c>
      <c r="O12" s="19">
        <v>0.6</v>
      </c>
      <c r="R12" s="4"/>
    </row>
    <row r="13" spans="2:18" x14ac:dyDescent="0.3">
      <c r="B13" t="str">
        <f>B86</f>
        <v>Scenario (3): Middle (Better #s &amp; rival)</v>
      </c>
      <c r="F13" s="10">
        <f>D110</f>
        <v>19214.036261569287</v>
      </c>
      <c r="H13" t="s">
        <v>31</v>
      </c>
      <c r="K13" s="19">
        <v>0.1</v>
      </c>
      <c r="O13" s="15"/>
      <c r="R13" s="4"/>
    </row>
    <row r="14" spans="2:18" x14ac:dyDescent="0.3">
      <c r="B14" t="str">
        <f>B116</f>
        <v>Scenario (4): Worst (No Δ in #s &amp; rival)</v>
      </c>
      <c r="F14" s="10">
        <f>D140</f>
        <v>7378.5424141040112</v>
      </c>
      <c r="H14" t="s">
        <v>32</v>
      </c>
      <c r="K14" s="19">
        <v>0.1</v>
      </c>
      <c r="O14" s="15"/>
      <c r="R14" s="4"/>
    </row>
    <row r="15" spans="2:18" x14ac:dyDescent="0.3">
      <c r="B15" t="str">
        <f>B145</f>
        <v>Scenario (5): Don't buy - high return alternative</v>
      </c>
      <c r="F15" s="10">
        <f>D169</f>
        <v>10104.660227745744</v>
      </c>
      <c r="H15" t="s">
        <v>23</v>
      </c>
      <c r="K15" s="1">
        <f>SUM(K11:K14)</f>
        <v>1</v>
      </c>
      <c r="L15" t="s">
        <v>23</v>
      </c>
      <c r="O15" s="1">
        <f>SUM(O11:O13)</f>
        <v>1</v>
      </c>
      <c r="R15" s="4"/>
    </row>
    <row r="16" spans="2:18" x14ac:dyDescent="0.3">
      <c r="B16" t="str">
        <f>B174</f>
        <v>Scenario (6): Don't buy - Low return alternative</v>
      </c>
      <c r="F16" s="10">
        <f>D200</f>
        <v>3674.4219009984522</v>
      </c>
      <c r="H16" t="s">
        <v>24</v>
      </c>
      <c r="K16" s="16">
        <f>K11*$F12+K12*$F13+K13*$F14+K14*$F11-$L21</f>
        <v>6156.7171605942167</v>
      </c>
      <c r="L16" t="s">
        <v>34</v>
      </c>
      <c r="O16" s="16">
        <f>O11*F15+O12*F16</f>
        <v>6246.5172316973694</v>
      </c>
      <c r="R16" s="4"/>
    </row>
    <row r="17" spans="2:15" ht="15" thickBot="1" x14ac:dyDescent="0.35">
      <c r="F17" s="10"/>
      <c r="H17" s="21" t="s">
        <v>26</v>
      </c>
      <c r="I17" s="22"/>
      <c r="J17" s="22"/>
      <c r="K17" s="23"/>
      <c r="L17" s="24" t="str">
        <f>IF(K16&gt;O16,"Invest for return of $"&amp;ROUND(K16-O16,1),"Don't invest to avoid loss")</f>
        <v>Don't invest to avoid loss</v>
      </c>
      <c r="M17" s="22"/>
      <c r="N17" s="22"/>
      <c r="O17" s="25"/>
    </row>
    <row r="18" spans="2:15" ht="14.55" customHeight="1" x14ac:dyDescent="0.3"/>
    <row r="19" spans="2:15" ht="15" thickBot="1" x14ac:dyDescent="0.35">
      <c r="B19" s="6" t="s">
        <v>15</v>
      </c>
      <c r="C19" s="7"/>
      <c r="D19" s="7"/>
      <c r="E19" s="7"/>
      <c r="F19" s="7"/>
      <c r="G19" s="7"/>
      <c r="H19" s="7"/>
      <c r="I19" s="7"/>
      <c r="J19" s="7"/>
      <c r="K19" s="7"/>
      <c r="L19" s="7"/>
      <c r="M19" s="7"/>
      <c r="N19" s="7"/>
      <c r="O19" s="7"/>
    </row>
    <row r="20" spans="2:15" x14ac:dyDescent="0.3">
      <c r="C20" s="8" t="s">
        <v>0</v>
      </c>
      <c r="D20" s="8" t="s">
        <v>5</v>
      </c>
      <c r="F20" s="2"/>
      <c r="J20" s="8"/>
      <c r="K20" s="8"/>
      <c r="O20" s="15"/>
    </row>
    <row r="21" spans="2:15" x14ac:dyDescent="0.3">
      <c r="B21" t="s">
        <v>38</v>
      </c>
      <c r="C21">
        <v>15724</v>
      </c>
      <c r="D21" s="3"/>
      <c r="F21" t="s">
        <v>47</v>
      </c>
      <c r="H21" s="1">
        <v>0.29099999999999998</v>
      </c>
      <c r="J21" t="s">
        <v>68</v>
      </c>
      <c r="L21" s="29">
        <v>13700</v>
      </c>
      <c r="O21" s="15"/>
    </row>
    <row r="22" spans="2:15" x14ac:dyDescent="0.3">
      <c r="D22" s="3"/>
      <c r="F22" t="s">
        <v>60</v>
      </c>
      <c r="G22" s="4"/>
      <c r="H22" s="1">
        <v>0.38600000000000001</v>
      </c>
      <c r="J22" s="11" t="s">
        <v>144</v>
      </c>
      <c r="L22" s="12">
        <v>3</v>
      </c>
      <c r="O22" s="18"/>
    </row>
    <row r="23" spans="2:15" x14ac:dyDescent="0.3">
      <c r="D23" s="3"/>
      <c r="F23" t="s">
        <v>49</v>
      </c>
      <c r="G23" s="4"/>
      <c r="H23" s="1">
        <v>0.11</v>
      </c>
      <c r="J23" t="s">
        <v>56</v>
      </c>
      <c r="L23" s="15">
        <v>0.35299999999999998</v>
      </c>
    </row>
    <row r="24" spans="2:15" x14ac:dyDescent="0.3">
      <c r="D24" s="3"/>
      <c r="F24" t="s">
        <v>48</v>
      </c>
      <c r="H24" s="1">
        <v>8.5000000000000006E-2</v>
      </c>
      <c r="J24" t="s">
        <v>12</v>
      </c>
      <c r="L24" s="1">
        <v>0.04</v>
      </c>
    </row>
    <row r="25" spans="2:15" x14ac:dyDescent="0.3">
      <c r="D25" s="3"/>
    </row>
    <row r="27" spans="2:15" x14ac:dyDescent="0.3">
      <c r="C27" s="4"/>
    </row>
    <row r="28" spans="2:15" ht="17.399999999999999" thickBot="1" x14ac:dyDescent="0.4">
      <c r="B28" s="6" t="s">
        <v>145</v>
      </c>
      <c r="C28" s="7"/>
      <c r="D28" s="7"/>
      <c r="E28" s="7"/>
      <c r="F28" s="7"/>
      <c r="G28" s="7"/>
      <c r="H28" s="7"/>
      <c r="I28" s="7"/>
      <c r="J28" s="7"/>
      <c r="K28" s="7"/>
      <c r="L28" s="7"/>
      <c r="M28" s="7"/>
      <c r="N28" s="7"/>
      <c r="O28" s="7"/>
    </row>
    <row r="30" spans="2:15" x14ac:dyDescent="0.3">
      <c r="B30" s="2" t="s">
        <v>19</v>
      </c>
      <c r="I30" s="2"/>
      <c r="K30" s="2" t="s">
        <v>16</v>
      </c>
    </row>
    <row r="31" spans="2:15" x14ac:dyDescent="0.3">
      <c r="B31" s="9" t="s">
        <v>62</v>
      </c>
      <c r="F31" s="19">
        <v>0</v>
      </c>
      <c r="K31" t="s">
        <v>64</v>
      </c>
      <c r="O31" s="29">
        <v>13700</v>
      </c>
    </row>
    <row r="32" spans="2:15" x14ac:dyDescent="0.3">
      <c r="B32" t="s">
        <v>63</v>
      </c>
      <c r="F32" s="28" t="s">
        <v>61</v>
      </c>
      <c r="G32" s="28" t="s">
        <v>65</v>
      </c>
      <c r="K32" t="s">
        <v>66</v>
      </c>
      <c r="O32" s="14">
        <v>2</v>
      </c>
    </row>
    <row r="33" spans="2:16" x14ac:dyDescent="0.3">
      <c r="B33" t="s">
        <v>50</v>
      </c>
      <c r="F33" s="19">
        <v>7.6999999999999999E-2</v>
      </c>
      <c r="G33" s="19">
        <v>-3.0000000000000001E-3</v>
      </c>
      <c r="K33" t="s">
        <v>57</v>
      </c>
      <c r="O33" s="15">
        <v>1</v>
      </c>
    </row>
    <row r="34" spans="2:16" x14ac:dyDescent="0.3">
      <c r="B34" t="s">
        <v>51</v>
      </c>
      <c r="F34" s="19">
        <v>0.1</v>
      </c>
      <c r="G34" s="19">
        <v>0</v>
      </c>
      <c r="K34" t="s">
        <v>56</v>
      </c>
      <c r="O34" s="15">
        <f>$L$23</f>
        <v>0.35299999999999998</v>
      </c>
    </row>
    <row r="35" spans="2:16" x14ac:dyDescent="0.3">
      <c r="B35" t="s">
        <v>52</v>
      </c>
      <c r="F35" s="19">
        <v>7.6999999999999999E-2</v>
      </c>
      <c r="G35" s="19">
        <v>-3.0000000000000001E-3</v>
      </c>
      <c r="K35" t="s">
        <v>6</v>
      </c>
      <c r="O35" s="15">
        <f>$H$23</f>
        <v>0.11</v>
      </c>
      <c r="P35" s="30"/>
    </row>
    <row r="36" spans="2:16" x14ac:dyDescent="0.3">
      <c r="B36" t="s">
        <v>59</v>
      </c>
      <c r="F36" s="20">
        <v>2099</v>
      </c>
      <c r="K36" t="s">
        <v>7</v>
      </c>
      <c r="O36" s="15">
        <f>H$22</f>
        <v>0.38600000000000001</v>
      </c>
    </row>
    <row r="37" spans="2:16" x14ac:dyDescent="0.3">
      <c r="B37" t="s">
        <v>58</v>
      </c>
      <c r="F37" s="19">
        <v>0</v>
      </c>
      <c r="K37" t="s">
        <v>17</v>
      </c>
      <c r="O37" s="15">
        <v>0</v>
      </c>
    </row>
    <row r="38" spans="2:16" x14ac:dyDescent="0.3">
      <c r="K38" t="s">
        <v>12</v>
      </c>
      <c r="O38" s="15">
        <f>$L$24</f>
        <v>0.04</v>
      </c>
    </row>
    <row r="40" spans="2:16" x14ac:dyDescent="0.3">
      <c r="D40">
        <v>2018</v>
      </c>
      <c r="E40">
        <f t="shared" ref="E40:N40" si="0">D40+1</f>
        <v>2019</v>
      </c>
      <c r="F40">
        <f t="shared" si="0"/>
        <v>2020</v>
      </c>
      <c r="G40">
        <f t="shared" si="0"/>
        <v>2021</v>
      </c>
      <c r="H40">
        <f t="shared" si="0"/>
        <v>2022</v>
      </c>
      <c r="I40">
        <f t="shared" si="0"/>
        <v>2023</v>
      </c>
      <c r="J40">
        <f t="shared" si="0"/>
        <v>2024</v>
      </c>
      <c r="K40">
        <f t="shared" si="0"/>
        <v>2025</v>
      </c>
      <c r="L40">
        <f t="shared" si="0"/>
        <v>2026</v>
      </c>
      <c r="M40">
        <f t="shared" si="0"/>
        <v>2027</v>
      </c>
      <c r="N40">
        <f t="shared" si="0"/>
        <v>2028</v>
      </c>
      <c r="O40" t="s">
        <v>11</v>
      </c>
    </row>
    <row r="41" spans="2:16" x14ac:dyDescent="0.3">
      <c r="B41" t="s">
        <v>53</v>
      </c>
      <c r="D41" s="1">
        <f>O33</f>
        <v>1</v>
      </c>
      <c r="E41" s="1">
        <f>D41-IF(E40&lt;($E40+$O32), -$F33,-$F34)-IF(E40=$F36,$F37,0)+IF(E40=$E40+$O32,$F31,0)</f>
        <v>1.077</v>
      </c>
      <c r="F41" s="1">
        <f>E41-IF(F40&lt;($E40+$O32), -$F33,-$F34)-IF(F40=$F36,$F37,0)+IF(F40=$E40+$O32,$F31,0)</f>
        <v>1.1539999999999999</v>
      </c>
      <c r="G41" s="1">
        <f>F41-IF(G40&lt;($E40+$O32), -$F33,-$F34)-IF(G40=$F36,$F37,0)+IF(G40=$E40+$O32,$F31,0)</f>
        <v>1.254</v>
      </c>
      <c r="H41" s="1">
        <f t="shared" ref="H41:N41" si="1">G41-IF(H40&lt;($E40+$O32), -$F33,-$F34)-IF(H40=$F36,$F37,0)+IF(H40=$E40+$O32,$F31,0)+IF(H40&gt;$F36,$F35-$F34,0)</f>
        <v>1.3540000000000001</v>
      </c>
      <c r="I41" s="1">
        <f t="shared" si="1"/>
        <v>1.4540000000000002</v>
      </c>
      <c r="J41" s="1">
        <f t="shared" si="1"/>
        <v>1.5540000000000003</v>
      </c>
      <c r="K41" s="1">
        <f t="shared" si="1"/>
        <v>1.6540000000000004</v>
      </c>
      <c r="L41" s="1">
        <f t="shared" si="1"/>
        <v>1.7540000000000004</v>
      </c>
      <c r="M41" s="1">
        <f t="shared" si="1"/>
        <v>1.8540000000000005</v>
      </c>
      <c r="N41" s="1">
        <f t="shared" si="1"/>
        <v>1.9540000000000006</v>
      </c>
    </row>
    <row r="42" spans="2:16" hidden="1" x14ac:dyDescent="0.3">
      <c r="B42" t="s">
        <v>13</v>
      </c>
      <c r="D42" s="5">
        <f>IF($O$22="Y",$J$25,0)</f>
        <v>0</v>
      </c>
      <c r="E42" s="5">
        <f t="shared" ref="E42:N42" si="2">(1+(E43-D43)/D43)*D42</f>
        <v>0</v>
      </c>
      <c r="F42" s="5">
        <f t="shared" si="2"/>
        <v>0</v>
      </c>
      <c r="G42" s="5">
        <f t="shared" si="2"/>
        <v>0</v>
      </c>
      <c r="H42" s="5">
        <f t="shared" si="2"/>
        <v>0</v>
      </c>
      <c r="I42" s="5">
        <f t="shared" si="2"/>
        <v>0</v>
      </c>
      <c r="J42" s="5">
        <f t="shared" si="2"/>
        <v>0</v>
      </c>
      <c r="K42" s="5">
        <f t="shared" si="2"/>
        <v>0</v>
      </c>
      <c r="L42" s="5">
        <f t="shared" si="2"/>
        <v>0</v>
      </c>
      <c r="M42" s="5">
        <f t="shared" si="2"/>
        <v>0</v>
      </c>
      <c r="N42" s="5">
        <f t="shared" si="2"/>
        <v>0</v>
      </c>
    </row>
    <row r="43" spans="2:16" x14ac:dyDescent="0.3">
      <c r="B43" t="s">
        <v>0</v>
      </c>
      <c r="D43" s="10">
        <f>$C$21</f>
        <v>15724</v>
      </c>
      <c r="E43" s="10">
        <f>E41*$D43</f>
        <v>16934.748</v>
      </c>
      <c r="F43" s="10">
        <f t="shared" ref="F43:N43" si="3">F41*$D43</f>
        <v>18145.495999999999</v>
      </c>
      <c r="G43" s="10">
        <f t="shared" si="3"/>
        <v>19717.896000000001</v>
      </c>
      <c r="H43" s="10">
        <f t="shared" si="3"/>
        <v>21290.296000000002</v>
      </c>
      <c r="I43" s="10">
        <f t="shared" si="3"/>
        <v>22862.696000000004</v>
      </c>
      <c r="J43" s="10">
        <f t="shared" si="3"/>
        <v>24435.096000000005</v>
      </c>
      <c r="K43" s="10">
        <f t="shared" si="3"/>
        <v>26007.496000000006</v>
      </c>
      <c r="L43" s="10">
        <f t="shared" si="3"/>
        <v>27579.896000000008</v>
      </c>
      <c r="M43" s="10">
        <f t="shared" si="3"/>
        <v>29152.296000000009</v>
      </c>
      <c r="N43" s="10">
        <f t="shared" si="3"/>
        <v>30724.696000000011</v>
      </c>
    </row>
    <row r="44" spans="2:16" x14ac:dyDescent="0.3">
      <c r="B44" t="s">
        <v>1</v>
      </c>
      <c r="D44" s="1">
        <f>O34</f>
        <v>0.35299999999999998</v>
      </c>
      <c r="E44" s="1">
        <f>D44+IF(E40&lt;($E40+$O32), $G33,0)+IF(AND(E40&gt;$E40+$O32,E40&lt;$F36),$G34,0)+IF(AND(E40&gt;$E40+$O32,E40&gt;$F36-1),$G35,0)</f>
        <v>0.35</v>
      </c>
      <c r="F44" s="1">
        <f t="shared" ref="F44:N44" si="4">E44+IF(F40&lt;($E40+$O32), $G33,0)+IF(AND(F40&gt;$E40+$O32,F40&lt;$F36),$G34,0)+IF(AND(F40&gt;$E40+$O32,F40&gt;$F36-1),$G35,0)</f>
        <v>0.34699999999999998</v>
      </c>
      <c r="G44" s="1">
        <f t="shared" si="4"/>
        <v>0.34699999999999998</v>
      </c>
      <c r="H44" s="1">
        <f t="shared" si="4"/>
        <v>0.34699999999999998</v>
      </c>
      <c r="I44" s="1">
        <f t="shared" si="4"/>
        <v>0.34699999999999998</v>
      </c>
      <c r="J44" s="1">
        <f t="shared" si="4"/>
        <v>0.34699999999999998</v>
      </c>
      <c r="K44" s="1">
        <f t="shared" si="4"/>
        <v>0.34699999999999998</v>
      </c>
      <c r="L44" s="1">
        <f t="shared" si="4"/>
        <v>0.34699999999999998</v>
      </c>
      <c r="M44" s="1">
        <f t="shared" si="4"/>
        <v>0.34699999999999998</v>
      </c>
      <c r="N44" s="1">
        <f t="shared" si="4"/>
        <v>0.34699999999999998</v>
      </c>
    </row>
    <row r="45" spans="2:16" x14ac:dyDescent="0.3">
      <c r="B45" t="s">
        <v>2</v>
      </c>
      <c r="D45" s="27">
        <f t="shared" ref="D45:N45" si="5">D44*(D43+D42)</f>
        <v>5550.5720000000001</v>
      </c>
      <c r="E45" s="27">
        <f t="shared" si="5"/>
        <v>5927.1617999999999</v>
      </c>
      <c r="F45" s="27">
        <f t="shared" si="5"/>
        <v>6296.4871119999989</v>
      </c>
      <c r="G45" s="27">
        <f t="shared" si="5"/>
        <v>6842.1099119999999</v>
      </c>
      <c r="H45" s="27">
        <f t="shared" si="5"/>
        <v>7387.732712</v>
      </c>
      <c r="I45" s="27">
        <f t="shared" si="5"/>
        <v>7933.355512000001</v>
      </c>
      <c r="J45" s="27">
        <f t="shared" si="5"/>
        <v>8478.9783120000011</v>
      </c>
      <c r="K45" s="27">
        <f t="shared" si="5"/>
        <v>9024.6011120000021</v>
      </c>
      <c r="L45" s="27">
        <f t="shared" si="5"/>
        <v>9570.2239120000013</v>
      </c>
      <c r="M45" s="27">
        <f t="shared" si="5"/>
        <v>10115.846712000002</v>
      </c>
      <c r="N45" s="27">
        <f t="shared" si="5"/>
        <v>10661.469512000003</v>
      </c>
      <c r="O45" s="27"/>
    </row>
    <row r="46" spans="2:16" x14ac:dyDescent="0.3">
      <c r="B46" t="s">
        <v>3</v>
      </c>
      <c r="D46" s="27">
        <f t="shared" ref="D46:N46" si="6">(D43+D42)*$H$21</f>
        <v>4575.6839999999993</v>
      </c>
      <c r="E46" s="27">
        <f t="shared" si="6"/>
        <v>4928.0116679999992</v>
      </c>
      <c r="F46" s="27">
        <f t="shared" si="6"/>
        <v>5280.3393359999991</v>
      </c>
      <c r="G46" s="27">
        <f t="shared" si="6"/>
        <v>5737.9077360000001</v>
      </c>
      <c r="H46" s="27">
        <f t="shared" si="6"/>
        <v>6195.4761360000002</v>
      </c>
      <c r="I46" s="27">
        <f t="shared" si="6"/>
        <v>6653.0445360000003</v>
      </c>
      <c r="J46" s="27">
        <f t="shared" si="6"/>
        <v>7110.6129360000014</v>
      </c>
      <c r="K46" s="27">
        <f t="shared" si="6"/>
        <v>7568.1813360000015</v>
      </c>
      <c r="L46" s="27">
        <f t="shared" si="6"/>
        <v>8025.7497360000016</v>
      </c>
      <c r="M46" s="27">
        <f t="shared" si="6"/>
        <v>8483.3181360000017</v>
      </c>
      <c r="N46" s="27">
        <f t="shared" si="6"/>
        <v>8940.8865360000018</v>
      </c>
      <c r="O46" s="27"/>
    </row>
    <row r="47" spans="2:16" x14ac:dyDescent="0.3">
      <c r="B47" t="s">
        <v>4</v>
      </c>
      <c r="D47" s="27">
        <f>D45-D46</f>
        <v>974.88800000000083</v>
      </c>
      <c r="E47" s="27">
        <f>E45-E46</f>
        <v>999.15013200000067</v>
      </c>
      <c r="F47" s="27">
        <f t="shared" ref="F47:N47" si="7">F45-F46</f>
        <v>1016.1477759999998</v>
      </c>
      <c r="G47" s="27">
        <f t="shared" si="7"/>
        <v>1104.2021759999998</v>
      </c>
      <c r="H47" s="27">
        <f t="shared" si="7"/>
        <v>1192.2565759999998</v>
      </c>
      <c r="I47" s="27">
        <f t="shared" si="7"/>
        <v>1280.3109760000007</v>
      </c>
      <c r="J47" s="27">
        <f t="shared" si="7"/>
        <v>1368.3653759999997</v>
      </c>
      <c r="K47" s="27">
        <f t="shared" si="7"/>
        <v>1456.4197760000006</v>
      </c>
      <c r="L47" s="27">
        <f t="shared" si="7"/>
        <v>1544.4741759999997</v>
      </c>
      <c r="M47" s="27">
        <f t="shared" si="7"/>
        <v>1632.5285760000006</v>
      </c>
      <c r="N47" s="27">
        <f t="shared" si="7"/>
        <v>1720.5829760000015</v>
      </c>
      <c r="O47" s="27"/>
    </row>
    <row r="48" spans="2:16" x14ac:dyDescent="0.3">
      <c r="B48" t="s">
        <v>8</v>
      </c>
      <c r="D48" s="27">
        <f>D47*$O36</f>
        <v>376.30676800000032</v>
      </c>
      <c r="E48" s="27">
        <f t="shared" ref="E48:N48" si="8">E47*$O36</f>
        <v>385.67195095200026</v>
      </c>
      <c r="F48" s="27">
        <f t="shared" si="8"/>
        <v>392.23304153599992</v>
      </c>
      <c r="G48" s="27">
        <f t="shared" si="8"/>
        <v>426.22203993599993</v>
      </c>
      <c r="H48" s="27">
        <f t="shared" si="8"/>
        <v>460.21103833599994</v>
      </c>
      <c r="I48" s="27">
        <f t="shared" si="8"/>
        <v>494.20003673600024</v>
      </c>
      <c r="J48" s="27">
        <f t="shared" si="8"/>
        <v>528.18903513599992</v>
      </c>
      <c r="K48" s="27">
        <f t="shared" si="8"/>
        <v>562.17803353600027</v>
      </c>
      <c r="L48" s="27">
        <f t="shared" si="8"/>
        <v>596.16703193599994</v>
      </c>
      <c r="M48" s="27">
        <f t="shared" si="8"/>
        <v>630.1560303360003</v>
      </c>
      <c r="N48" s="27">
        <f t="shared" si="8"/>
        <v>664.14502873600065</v>
      </c>
      <c r="O48" s="27"/>
    </row>
    <row r="49" spans="2:15" x14ac:dyDescent="0.3">
      <c r="B49" t="s">
        <v>9</v>
      </c>
      <c r="D49" s="27">
        <f>D47-D48</f>
        <v>598.58123200000045</v>
      </c>
      <c r="E49" s="27">
        <f t="shared" ref="E49:N49" si="9">E47-E48</f>
        <v>613.47818104800035</v>
      </c>
      <c r="F49" s="27">
        <f t="shared" si="9"/>
        <v>623.91473446399982</v>
      </c>
      <c r="G49" s="27">
        <f t="shared" si="9"/>
        <v>677.98013606399991</v>
      </c>
      <c r="H49" s="27">
        <f t="shared" si="9"/>
        <v>732.04553766399977</v>
      </c>
      <c r="I49" s="27">
        <f t="shared" si="9"/>
        <v>786.11093926400042</v>
      </c>
      <c r="J49" s="27">
        <f t="shared" si="9"/>
        <v>840.17634086399983</v>
      </c>
      <c r="K49" s="27">
        <f t="shared" si="9"/>
        <v>894.24174246400037</v>
      </c>
      <c r="L49" s="27">
        <f t="shared" si="9"/>
        <v>948.30714406399977</v>
      </c>
      <c r="M49" s="27">
        <f t="shared" si="9"/>
        <v>1002.3725456640003</v>
      </c>
      <c r="N49" s="27">
        <f t="shared" si="9"/>
        <v>1056.4379472640007</v>
      </c>
      <c r="O49" s="27"/>
    </row>
    <row r="50" spans="2:15" x14ac:dyDescent="0.3">
      <c r="B50" t="s">
        <v>10</v>
      </c>
      <c r="D50" s="27">
        <f t="shared" ref="D50:N50" si="10">D49/(1+$O35)^(D40-2018)</f>
        <v>598.58123200000045</v>
      </c>
      <c r="E50" s="27">
        <f t="shared" si="10"/>
        <v>552.68304598918951</v>
      </c>
      <c r="F50" s="27">
        <f t="shared" si="10"/>
        <v>506.38319492248985</v>
      </c>
      <c r="G50" s="27">
        <f t="shared" si="10"/>
        <v>495.73323218324225</v>
      </c>
      <c r="H50" s="27">
        <f t="shared" si="10"/>
        <v>482.22107014390696</v>
      </c>
      <c r="I50" s="27">
        <f t="shared" si="10"/>
        <v>466.51858090758196</v>
      </c>
      <c r="J50" s="27">
        <f t="shared" si="10"/>
        <v>449.19258134155035</v>
      </c>
      <c r="K50" s="27">
        <f t="shared" si="10"/>
        <v>430.7190566274333</v>
      </c>
      <c r="L50" s="27">
        <f t="shared" si="10"/>
        <v>411.49559643807385</v>
      </c>
      <c r="M50" s="27">
        <f t="shared" si="10"/>
        <v>391.85225831108778</v>
      </c>
      <c r="N50" s="27">
        <f t="shared" si="10"/>
        <v>372.06104781473988</v>
      </c>
      <c r="O50" s="27">
        <f>N50/(O35-O38)</f>
        <v>5315.1578259248545</v>
      </c>
    </row>
    <row r="52" spans="2:15" x14ac:dyDescent="0.3">
      <c r="B52" t="s">
        <v>20</v>
      </c>
      <c r="D52" s="10">
        <f>SUM(E50:O50)</f>
        <v>9874.0174906041502</v>
      </c>
      <c r="E52" s="13" t="s">
        <v>22</v>
      </c>
    </row>
    <row r="53" spans="2:15" x14ac:dyDescent="0.3">
      <c r="B53" t="s">
        <v>14</v>
      </c>
      <c r="D53" s="27">
        <f>IF(OR(F31&gt;0, F33&lt;&gt;F34),O31,0)</f>
        <v>13700</v>
      </c>
      <c r="E53" s="13"/>
    </row>
    <row r="54" spans="2:15" x14ac:dyDescent="0.3">
      <c r="B54" t="s">
        <v>21</v>
      </c>
      <c r="D54" s="27">
        <f>D52-D53</f>
        <v>-3825.9825093958498</v>
      </c>
      <c r="E54" s="13"/>
    </row>
    <row r="55" spans="2:15" x14ac:dyDescent="0.3">
      <c r="D55" s="10"/>
    </row>
    <row r="57" spans="2:15" ht="15" thickBot="1" x14ac:dyDescent="0.35">
      <c r="B57" s="6" t="s">
        <v>134</v>
      </c>
      <c r="C57" s="7"/>
      <c r="D57" s="7"/>
      <c r="E57" s="7"/>
      <c r="F57" s="7"/>
      <c r="G57" s="7"/>
      <c r="H57" s="7"/>
      <c r="I57" s="7"/>
      <c r="J57" s="7"/>
      <c r="K57" s="7"/>
      <c r="L57" s="7"/>
      <c r="M57" s="7"/>
      <c r="N57" s="7"/>
      <c r="O57" s="7"/>
    </row>
    <row r="59" spans="2:15" x14ac:dyDescent="0.3">
      <c r="B59" s="2" t="s">
        <v>19</v>
      </c>
      <c r="I59" s="2"/>
      <c r="K59" s="2" t="s">
        <v>16</v>
      </c>
    </row>
    <row r="60" spans="2:15" x14ac:dyDescent="0.3">
      <c r="B60" s="9" t="s">
        <v>62</v>
      </c>
      <c r="F60" s="19">
        <v>0.2</v>
      </c>
      <c r="K60" t="s">
        <v>64</v>
      </c>
      <c r="O60" s="29">
        <v>13700</v>
      </c>
    </row>
    <row r="61" spans="2:15" x14ac:dyDescent="0.3">
      <c r="B61" t="s">
        <v>63</v>
      </c>
      <c r="F61" s="28" t="s">
        <v>61</v>
      </c>
      <c r="G61" s="28" t="s">
        <v>65</v>
      </c>
      <c r="K61" t="s">
        <v>66</v>
      </c>
      <c r="O61" s="14">
        <v>2</v>
      </c>
    </row>
    <row r="62" spans="2:15" x14ac:dyDescent="0.3">
      <c r="B62" t="s">
        <v>50</v>
      </c>
      <c r="F62" s="19">
        <v>7.6999999999999999E-2</v>
      </c>
      <c r="G62" s="19">
        <v>0</v>
      </c>
      <c r="K62" t="s">
        <v>57</v>
      </c>
      <c r="O62" s="15">
        <v>1</v>
      </c>
    </row>
    <row r="63" spans="2:15" x14ac:dyDescent="0.3">
      <c r="B63" t="s">
        <v>51</v>
      </c>
      <c r="F63" s="19">
        <v>0.2</v>
      </c>
      <c r="G63" s="19">
        <v>0.01</v>
      </c>
      <c r="K63" t="s">
        <v>56</v>
      </c>
      <c r="O63" s="15">
        <f>$L$23</f>
        <v>0.35299999999999998</v>
      </c>
    </row>
    <row r="64" spans="2:15" x14ac:dyDescent="0.3">
      <c r="B64" t="s">
        <v>52</v>
      </c>
      <c r="F64" s="19">
        <v>0.1</v>
      </c>
      <c r="G64" s="19">
        <v>5.0000000000000001E-3</v>
      </c>
      <c r="K64" t="s">
        <v>6</v>
      </c>
      <c r="O64" s="15">
        <f>$H$23</f>
        <v>0.11</v>
      </c>
    </row>
    <row r="65" spans="2:15" x14ac:dyDescent="0.3">
      <c r="B65" t="s">
        <v>59</v>
      </c>
      <c r="F65" s="20">
        <v>2099</v>
      </c>
      <c r="K65" t="s">
        <v>7</v>
      </c>
      <c r="O65" s="15">
        <f>H$22</f>
        <v>0.38600000000000001</v>
      </c>
    </row>
    <row r="66" spans="2:15" x14ac:dyDescent="0.3">
      <c r="B66" t="s">
        <v>58</v>
      </c>
      <c r="F66" s="19">
        <v>0</v>
      </c>
      <c r="K66" t="s">
        <v>17</v>
      </c>
      <c r="O66" s="15">
        <v>0</v>
      </c>
    </row>
    <row r="67" spans="2:15" x14ac:dyDescent="0.3">
      <c r="K67" t="s">
        <v>12</v>
      </c>
      <c r="O67" s="15">
        <f>$L$24</f>
        <v>0.04</v>
      </c>
    </row>
    <row r="69" spans="2:15" x14ac:dyDescent="0.3">
      <c r="D69">
        <v>2018</v>
      </c>
      <c r="E69">
        <f t="shared" ref="E69" si="11">D69+1</f>
        <v>2019</v>
      </c>
      <c r="F69">
        <f t="shared" ref="F69" si="12">E69+1</f>
        <v>2020</v>
      </c>
      <c r="G69">
        <f t="shared" ref="G69" si="13">F69+1</f>
        <v>2021</v>
      </c>
      <c r="H69">
        <f t="shared" ref="H69" si="14">G69+1</f>
        <v>2022</v>
      </c>
      <c r="I69">
        <f t="shared" ref="I69" si="15">H69+1</f>
        <v>2023</v>
      </c>
      <c r="J69">
        <f t="shared" ref="J69" si="16">I69+1</f>
        <v>2024</v>
      </c>
      <c r="K69">
        <f t="shared" ref="K69" si="17">J69+1</f>
        <v>2025</v>
      </c>
      <c r="L69">
        <f t="shared" ref="L69" si="18">K69+1</f>
        <v>2026</v>
      </c>
      <c r="M69">
        <f t="shared" ref="M69" si="19">L69+1</f>
        <v>2027</v>
      </c>
      <c r="N69">
        <f t="shared" ref="N69" si="20">M69+1</f>
        <v>2028</v>
      </c>
      <c r="O69" t="s">
        <v>11</v>
      </c>
    </row>
    <row r="70" spans="2:15" x14ac:dyDescent="0.3">
      <c r="B70" t="s">
        <v>53</v>
      </c>
      <c r="D70" s="1">
        <f>O62</f>
        <v>1</v>
      </c>
      <c r="E70" s="1">
        <f>D70-IF(E69&lt;($E69+$O61), -$F62,-$F63)-IF(E69=$F65,$F66,0)+IF(E69=$E69+$O61,$F60,0)</f>
        <v>1.077</v>
      </c>
      <c r="F70" s="1">
        <f>E70-IF(F69&lt;($E69+$O61), -$F62,-$F63)-IF(F69=$F65,$F66,0)+IF(F69=$E69+$O61,$F60,0)</f>
        <v>1.1539999999999999</v>
      </c>
      <c r="G70" s="1">
        <f>F70-IF(G69&lt;($E69+$O61), -$F62,-$F63)-IF(G69=$F65,$F66,0)+IF(G69=$E69+$O61,$F60,0)</f>
        <v>1.5539999999999998</v>
      </c>
      <c r="H70" s="1">
        <f t="shared" ref="H70" si="21">G70-IF(H69&lt;($E69+$O61), -$F62,-$F63)-IF(H69=$F65,$F66,0)+IF(H69=$E69+$O61,$F60,0)+IF(H69&gt;$F65,$F64-$F63,0)</f>
        <v>1.7539999999999998</v>
      </c>
      <c r="I70" s="1">
        <f t="shared" ref="I70" si="22">H70-IF(I69&lt;($E69+$O61), -$F62,-$F63)-IF(I69=$F65,$F66,0)+IF(I69=$E69+$O61,$F60,0)+IF(I69&gt;$F65,$F64-$F63,0)</f>
        <v>1.9539999999999997</v>
      </c>
      <c r="J70" s="1">
        <f t="shared" ref="J70" si="23">I70-IF(J69&lt;($E69+$O61), -$F62,-$F63)-IF(J69=$F65,$F66,0)+IF(J69=$E69+$O61,$F60,0)+IF(J69&gt;$F65,$F64-$F63,0)</f>
        <v>2.1539999999999999</v>
      </c>
      <c r="K70" s="1">
        <f t="shared" ref="K70" si="24">J70-IF(K69&lt;($E69+$O61), -$F62,-$F63)-IF(K69=$F65,$F66,0)+IF(K69=$E69+$O61,$F60,0)+IF(K69&gt;$F65,$F64-$F63,0)</f>
        <v>2.3540000000000001</v>
      </c>
      <c r="L70" s="1">
        <f t="shared" ref="L70" si="25">K70-IF(L69&lt;($E69+$O61), -$F62,-$F63)-IF(L69=$F65,$F66,0)+IF(L69=$E69+$O61,$F60,0)+IF(L69&gt;$F65,$F64-$F63,0)</f>
        <v>2.5540000000000003</v>
      </c>
      <c r="M70" s="1">
        <f t="shared" ref="M70" si="26">L70-IF(M69&lt;($E69+$O61), -$F62,-$F63)-IF(M69=$F65,$F66,0)+IF(M69=$E69+$O61,$F60,0)+IF(M69&gt;$F65,$F64-$F63,0)</f>
        <v>2.7540000000000004</v>
      </c>
      <c r="N70" s="1">
        <f t="shared" ref="N70" si="27">M70-IF(N69&lt;($E69+$O61), -$F62,-$F63)-IF(N69=$F65,$F66,0)+IF(N69=$E69+$O61,$F60,0)+IF(N69&gt;$F65,$F64-$F63,0)</f>
        <v>2.9540000000000006</v>
      </c>
    </row>
    <row r="71" spans="2:15" hidden="1" x14ac:dyDescent="0.3">
      <c r="B71" t="s">
        <v>13</v>
      </c>
      <c r="D71" s="5">
        <f>IF($O$22="Y",$J$25,0)</f>
        <v>0</v>
      </c>
      <c r="E71" s="5">
        <f t="shared" ref="E71" si="28">(1+(E72-D72)/D72)*D71</f>
        <v>0</v>
      </c>
      <c r="F71" s="5">
        <f t="shared" ref="F71" si="29">(1+(F72-E72)/E72)*E71</f>
        <v>0</v>
      </c>
      <c r="G71" s="5">
        <f t="shared" ref="G71" si="30">(1+(G72-F72)/F72)*F71</f>
        <v>0</v>
      </c>
      <c r="H71" s="5">
        <f t="shared" ref="H71" si="31">(1+(H72-G72)/G72)*G71</f>
        <v>0</v>
      </c>
      <c r="I71" s="5">
        <f t="shared" ref="I71" si="32">(1+(I72-H72)/H72)*H71</f>
        <v>0</v>
      </c>
      <c r="J71" s="5">
        <f t="shared" ref="J71" si="33">(1+(J72-I72)/I72)*I71</f>
        <v>0</v>
      </c>
      <c r="K71" s="5">
        <f t="shared" ref="K71" si="34">(1+(K72-J72)/J72)*J71</f>
        <v>0</v>
      </c>
      <c r="L71" s="5">
        <f t="shared" ref="L71" si="35">(1+(L72-K72)/K72)*K71</f>
        <v>0</v>
      </c>
      <c r="M71" s="5">
        <f t="shared" ref="M71" si="36">(1+(M72-L72)/L72)*L71</f>
        <v>0</v>
      </c>
      <c r="N71" s="5">
        <f t="shared" ref="N71" si="37">(1+(N72-M72)/M72)*M71</f>
        <v>0</v>
      </c>
    </row>
    <row r="72" spans="2:15" x14ac:dyDescent="0.3">
      <c r="B72" t="s">
        <v>0</v>
      </c>
      <c r="D72" s="10">
        <f>$C$21</f>
        <v>15724</v>
      </c>
      <c r="E72" s="10">
        <f>E70*$D72</f>
        <v>16934.748</v>
      </c>
      <c r="F72" s="10">
        <f t="shared" ref="F72:N72" si="38">F70*$D72</f>
        <v>18145.495999999999</v>
      </c>
      <c r="G72" s="10">
        <f t="shared" si="38"/>
        <v>24435.095999999998</v>
      </c>
      <c r="H72" s="10">
        <f t="shared" si="38"/>
        <v>27579.895999999997</v>
      </c>
      <c r="I72" s="10">
        <f t="shared" si="38"/>
        <v>30724.695999999996</v>
      </c>
      <c r="J72" s="10">
        <f t="shared" si="38"/>
        <v>33869.495999999999</v>
      </c>
      <c r="K72" s="10">
        <f t="shared" si="38"/>
        <v>37014.296000000002</v>
      </c>
      <c r="L72" s="10">
        <f t="shared" si="38"/>
        <v>40159.096000000005</v>
      </c>
      <c r="M72" s="10">
        <f t="shared" si="38"/>
        <v>43303.896000000008</v>
      </c>
      <c r="N72" s="10">
        <f t="shared" si="38"/>
        <v>46448.696000000011</v>
      </c>
    </row>
    <row r="73" spans="2:15" x14ac:dyDescent="0.3">
      <c r="B73" t="s">
        <v>1</v>
      </c>
      <c r="D73" s="1">
        <f>O63</f>
        <v>0.35299999999999998</v>
      </c>
      <c r="E73" s="1">
        <f>D73+IF(E69&lt;($E69+$O61), $G62,0)+IF(AND(E69&gt;$E69+$O61,E69&lt;$F65),$G63,0)+IF(AND(E69&gt;$E69+$O61,E69&gt;$F65-1),$G64,0)</f>
        <v>0.35299999999999998</v>
      </c>
      <c r="F73" s="1">
        <f t="shared" ref="F73" si="39">E73+IF(F69&lt;($E69+$O61), $G62,0)+IF(AND(F69&gt;$E69+$O61,F69&lt;$F65),$G63,0)+IF(AND(F69&gt;$E69+$O61,F69&gt;$F65-1),$G64,0)</f>
        <v>0.35299999999999998</v>
      </c>
      <c r="G73" s="1">
        <f t="shared" ref="G73" si="40">F73+IF(G69&lt;($E69+$O61), $G62,0)+IF(AND(G69&gt;$E69+$O61,G69&lt;$F65),$G63,0)+IF(AND(G69&gt;$E69+$O61,G69&gt;$F65-1),$G64,0)</f>
        <v>0.35299999999999998</v>
      </c>
      <c r="H73" s="1">
        <f t="shared" ref="H73" si="41">G73+IF(H69&lt;($E69+$O61), $G62,0)+IF(AND(H69&gt;$E69+$O61,H69&lt;$F65),$G63,0)+IF(AND(H69&gt;$E69+$O61,H69&gt;$F65-1),$G64,0)</f>
        <v>0.36299999999999999</v>
      </c>
      <c r="I73" s="1">
        <f t="shared" ref="I73" si="42">H73+IF(I69&lt;($E69+$O61), $G62,0)+IF(AND(I69&gt;$E69+$O61,I69&lt;$F65),$G63,0)+IF(AND(I69&gt;$E69+$O61,I69&gt;$F65-1),$G64,0)</f>
        <v>0.373</v>
      </c>
      <c r="J73" s="1">
        <f t="shared" ref="J73" si="43">I73+IF(J69&lt;($E69+$O61), $G62,0)+IF(AND(J69&gt;$E69+$O61,J69&lt;$F65),$G63,0)+IF(AND(J69&gt;$E69+$O61,J69&gt;$F65-1),$G64,0)</f>
        <v>0.38300000000000001</v>
      </c>
      <c r="K73" s="1">
        <f t="shared" ref="K73" si="44">J73+IF(K69&lt;($E69+$O61), $G62,0)+IF(AND(K69&gt;$E69+$O61,K69&lt;$F65),$G63,0)+IF(AND(K69&gt;$E69+$O61,K69&gt;$F65-1),$G64,0)</f>
        <v>0.39300000000000002</v>
      </c>
      <c r="L73" s="1">
        <f t="shared" ref="L73" si="45">K73+IF(L69&lt;($E69+$O61), $G62,0)+IF(AND(L69&gt;$E69+$O61,L69&lt;$F65),$G63,0)+IF(AND(L69&gt;$E69+$O61,L69&gt;$F65-1),$G64,0)</f>
        <v>0.40300000000000002</v>
      </c>
      <c r="M73" s="1">
        <f t="shared" ref="M73" si="46">L73+IF(M69&lt;($E69+$O61), $G62,0)+IF(AND(M69&gt;$E69+$O61,M69&lt;$F65),$G63,0)+IF(AND(M69&gt;$E69+$O61,M69&gt;$F65-1),$G64,0)</f>
        <v>0.41300000000000003</v>
      </c>
      <c r="N73" s="1">
        <f t="shared" ref="N73" si="47">M73+IF(N69&lt;($E69+$O61), $G62,0)+IF(AND(N69&gt;$E69+$O61,N69&lt;$F65),$G63,0)+IF(AND(N69&gt;$E69+$O61,N69&gt;$F65-1),$G64,0)</f>
        <v>0.42300000000000004</v>
      </c>
    </row>
    <row r="74" spans="2:15" x14ac:dyDescent="0.3">
      <c r="B74" t="s">
        <v>2</v>
      </c>
      <c r="D74" s="27">
        <f t="shared" ref="D74:N74" si="48">D73*(D72+D71)</f>
        <v>5550.5720000000001</v>
      </c>
      <c r="E74" s="27">
        <f t="shared" si="48"/>
        <v>5977.9660439999998</v>
      </c>
      <c r="F74" s="27">
        <f t="shared" si="48"/>
        <v>6405.3600879999995</v>
      </c>
      <c r="G74" s="27">
        <f t="shared" si="48"/>
        <v>8625.5888879999984</v>
      </c>
      <c r="H74" s="27">
        <f t="shared" si="48"/>
        <v>10011.502247999999</v>
      </c>
      <c r="I74" s="27">
        <f t="shared" si="48"/>
        <v>11460.311607999998</v>
      </c>
      <c r="J74" s="27">
        <f t="shared" si="48"/>
        <v>12972.016968</v>
      </c>
      <c r="K74" s="27">
        <f t="shared" si="48"/>
        <v>14546.618328000002</v>
      </c>
      <c r="L74" s="27">
        <f t="shared" si="48"/>
        <v>16184.115688000004</v>
      </c>
      <c r="M74" s="27">
        <f t="shared" si="48"/>
        <v>17884.509048000004</v>
      </c>
      <c r="N74" s="27">
        <f t="shared" si="48"/>
        <v>19647.798408000006</v>
      </c>
      <c r="O74" s="27"/>
    </row>
    <row r="75" spans="2:15" x14ac:dyDescent="0.3">
      <c r="B75" t="s">
        <v>3</v>
      </c>
      <c r="D75" s="27">
        <f t="shared" ref="D75:N75" si="49">(D72+D71)*$H$21</f>
        <v>4575.6839999999993</v>
      </c>
      <c r="E75" s="27">
        <f t="shared" si="49"/>
        <v>4928.0116679999992</v>
      </c>
      <c r="F75" s="27">
        <f t="shared" si="49"/>
        <v>5280.3393359999991</v>
      </c>
      <c r="G75" s="27">
        <f t="shared" si="49"/>
        <v>7110.6129359999986</v>
      </c>
      <c r="H75" s="27">
        <f t="shared" si="49"/>
        <v>8025.7497359999988</v>
      </c>
      <c r="I75" s="27">
        <f t="shared" si="49"/>
        <v>8940.8865359999982</v>
      </c>
      <c r="J75" s="27">
        <f t="shared" si="49"/>
        <v>9856.0233359999984</v>
      </c>
      <c r="K75" s="27">
        <f t="shared" si="49"/>
        <v>10771.160136</v>
      </c>
      <c r="L75" s="27">
        <f t="shared" si="49"/>
        <v>11686.296936000001</v>
      </c>
      <c r="M75" s="27">
        <f t="shared" si="49"/>
        <v>12601.433736000001</v>
      </c>
      <c r="N75" s="27">
        <f t="shared" si="49"/>
        <v>13516.570536000003</v>
      </c>
      <c r="O75" s="27"/>
    </row>
    <row r="76" spans="2:15" x14ac:dyDescent="0.3">
      <c r="B76" t="s">
        <v>4</v>
      </c>
      <c r="D76" s="27">
        <f>D74-D75</f>
        <v>974.88800000000083</v>
      </c>
      <c r="E76" s="27">
        <f>E74-E75</f>
        <v>1049.9543760000006</v>
      </c>
      <c r="F76" s="27">
        <f t="shared" ref="F76:N76" si="50">F74-F75</f>
        <v>1125.0207520000004</v>
      </c>
      <c r="G76" s="27">
        <f t="shared" si="50"/>
        <v>1514.9759519999998</v>
      </c>
      <c r="H76" s="27">
        <f t="shared" si="50"/>
        <v>1985.752512</v>
      </c>
      <c r="I76" s="27">
        <f t="shared" si="50"/>
        <v>2519.425072</v>
      </c>
      <c r="J76" s="27">
        <f t="shared" si="50"/>
        <v>3115.9936320000015</v>
      </c>
      <c r="K76" s="27">
        <f t="shared" si="50"/>
        <v>3775.4581920000019</v>
      </c>
      <c r="L76" s="27">
        <f t="shared" si="50"/>
        <v>4497.8187520000029</v>
      </c>
      <c r="M76" s="27">
        <f t="shared" si="50"/>
        <v>5283.0753120000027</v>
      </c>
      <c r="N76" s="27">
        <f t="shared" si="50"/>
        <v>6131.2278720000031</v>
      </c>
      <c r="O76" s="27"/>
    </row>
    <row r="77" spans="2:15" x14ac:dyDescent="0.3">
      <c r="B77" t="s">
        <v>8</v>
      </c>
      <c r="D77" s="27">
        <f t="shared" ref="D77:N77" si="51">D76*$O65</f>
        <v>376.30676800000032</v>
      </c>
      <c r="E77" s="27">
        <f t="shared" si="51"/>
        <v>405.28238913600023</v>
      </c>
      <c r="F77" s="27">
        <f t="shared" si="51"/>
        <v>434.25801027200015</v>
      </c>
      <c r="G77" s="27">
        <f t="shared" si="51"/>
        <v>584.78071747199988</v>
      </c>
      <c r="H77" s="27">
        <f t="shared" si="51"/>
        <v>766.50046963199998</v>
      </c>
      <c r="I77" s="27">
        <f t="shared" si="51"/>
        <v>972.498077792</v>
      </c>
      <c r="J77" s="27">
        <f t="shared" si="51"/>
        <v>1202.7735419520006</v>
      </c>
      <c r="K77" s="27">
        <f t="shared" si="51"/>
        <v>1457.3268621120008</v>
      </c>
      <c r="L77" s="27">
        <f t="shared" si="51"/>
        <v>1736.1580382720012</v>
      </c>
      <c r="M77" s="27">
        <f t="shared" si="51"/>
        <v>2039.267070432001</v>
      </c>
      <c r="N77" s="27">
        <f t="shared" si="51"/>
        <v>2366.6539585920013</v>
      </c>
      <c r="O77" s="27"/>
    </row>
    <row r="78" spans="2:15" x14ac:dyDescent="0.3">
      <c r="B78" t="s">
        <v>9</v>
      </c>
      <c r="D78" s="27">
        <f>D76-D77</f>
        <v>598.58123200000045</v>
      </c>
      <c r="E78" s="27">
        <f t="shared" ref="E78:N78" si="52">E76-E77</f>
        <v>644.67198686400036</v>
      </c>
      <c r="F78" s="27">
        <f t="shared" si="52"/>
        <v>690.76274172800026</v>
      </c>
      <c r="G78" s="27">
        <f t="shared" si="52"/>
        <v>930.1952345279999</v>
      </c>
      <c r="H78" s="27">
        <f t="shared" si="52"/>
        <v>1219.252042368</v>
      </c>
      <c r="I78" s="27">
        <f t="shared" si="52"/>
        <v>1546.926994208</v>
      </c>
      <c r="J78" s="27">
        <f t="shared" si="52"/>
        <v>1913.2200900480009</v>
      </c>
      <c r="K78" s="27">
        <f t="shared" si="52"/>
        <v>2318.1313298880013</v>
      </c>
      <c r="L78" s="27">
        <f t="shared" si="52"/>
        <v>2761.6607137280016</v>
      </c>
      <c r="M78" s="27">
        <f t="shared" si="52"/>
        <v>3243.8082415680019</v>
      </c>
      <c r="N78" s="27">
        <f t="shared" si="52"/>
        <v>3764.5739134080018</v>
      </c>
      <c r="O78" s="27"/>
    </row>
    <row r="79" spans="2:15" x14ac:dyDescent="0.3">
      <c r="B79" t="s">
        <v>10</v>
      </c>
      <c r="D79" s="27">
        <f t="shared" ref="D79:N79" si="53">D78/(1+$O64)^(D69-2018)</f>
        <v>598.58123200000045</v>
      </c>
      <c r="E79" s="27">
        <f t="shared" si="53"/>
        <v>580.78557375135165</v>
      </c>
      <c r="F79" s="27">
        <f t="shared" si="53"/>
        <v>560.63853723561408</v>
      </c>
      <c r="G79" s="27">
        <f t="shared" si="53"/>
        <v>680.15073841408957</v>
      </c>
      <c r="H79" s="27">
        <f t="shared" si="53"/>
        <v>803.15908559735362</v>
      </c>
      <c r="I79" s="27">
        <f t="shared" si="53"/>
        <v>918.02587912237186</v>
      </c>
      <c r="J79" s="27">
        <f t="shared" si="53"/>
        <v>1022.8855885651362</v>
      </c>
      <c r="K79" s="27">
        <f t="shared" si="53"/>
        <v>1116.547452590039</v>
      </c>
      <c r="L79" s="27">
        <f t="shared" si="53"/>
        <v>1198.3577574718831</v>
      </c>
      <c r="M79" s="27">
        <f t="shared" si="53"/>
        <v>1268.0849954290511</v>
      </c>
      <c r="N79" s="27">
        <f t="shared" si="53"/>
        <v>1325.8245015015523</v>
      </c>
      <c r="O79" s="27">
        <f>N79/(O64-O67)</f>
        <v>18940.350021450744</v>
      </c>
    </row>
    <row r="81" spans="2:15" x14ac:dyDescent="0.3">
      <c r="B81" t="s">
        <v>20</v>
      </c>
      <c r="D81" s="10">
        <f>SUM(E79:O79)</f>
        <v>28414.810131129187</v>
      </c>
      <c r="E81" s="13" t="s">
        <v>22</v>
      </c>
    </row>
    <row r="82" spans="2:15" x14ac:dyDescent="0.3">
      <c r="B82" t="s">
        <v>14</v>
      </c>
      <c r="D82" s="27">
        <f>IF(OR(F60&gt;0, F62&lt;&gt;F63),O60,0)</f>
        <v>13700</v>
      </c>
      <c r="E82" s="13"/>
    </row>
    <row r="83" spans="2:15" x14ac:dyDescent="0.3">
      <c r="B83" t="s">
        <v>21</v>
      </c>
      <c r="D83" s="27">
        <f>D81-D82</f>
        <v>14714.810131129187</v>
      </c>
      <c r="E83" s="13"/>
    </row>
    <row r="84" spans="2:15" x14ac:dyDescent="0.3">
      <c r="D84" s="10"/>
      <c r="E84" s="13"/>
    </row>
    <row r="86" spans="2:15" ht="15" thickBot="1" x14ac:dyDescent="0.35">
      <c r="B86" s="6" t="s">
        <v>142</v>
      </c>
      <c r="C86" s="6"/>
      <c r="D86" s="6"/>
      <c r="E86" s="6"/>
      <c r="F86" s="6"/>
      <c r="G86" s="7"/>
      <c r="H86" s="7"/>
      <c r="I86" s="7"/>
      <c r="J86" s="7"/>
      <c r="K86" s="7"/>
      <c r="L86" s="7"/>
      <c r="M86" s="7"/>
      <c r="N86" s="7"/>
      <c r="O86" s="7"/>
    </row>
    <row r="88" spans="2:15" x14ac:dyDescent="0.3">
      <c r="B88" s="2" t="s">
        <v>19</v>
      </c>
      <c r="I88" s="2"/>
      <c r="K88" s="2" t="s">
        <v>16</v>
      </c>
    </row>
    <row r="89" spans="2:15" x14ac:dyDescent="0.3">
      <c r="B89" s="9" t="s">
        <v>62</v>
      </c>
      <c r="F89" s="19">
        <v>0.2</v>
      </c>
      <c r="K89" t="s">
        <v>64</v>
      </c>
      <c r="O89" s="29">
        <v>13700</v>
      </c>
    </row>
    <row r="90" spans="2:15" x14ac:dyDescent="0.3">
      <c r="B90" t="s">
        <v>63</v>
      </c>
      <c r="F90" s="28" t="s">
        <v>61</v>
      </c>
      <c r="G90" s="28" t="s">
        <v>65</v>
      </c>
      <c r="K90" t="s">
        <v>66</v>
      </c>
      <c r="O90" s="14">
        <v>2</v>
      </c>
    </row>
    <row r="91" spans="2:15" x14ac:dyDescent="0.3">
      <c r="B91" t="s">
        <v>50</v>
      </c>
      <c r="F91" s="19">
        <v>7.6999999999999999E-2</v>
      </c>
      <c r="G91" s="19">
        <v>0</v>
      </c>
      <c r="K91" t="s">
        <v>57</v>
      </c>
      <c r="O91" s="15">
        <v>1</v>
      </c>
    </row>
    <row r="92" spans="2:15" x14ac:dyDescent="0.3">
      <c r="B92" t="s">
        <v>51</v>
      </c>
      <c r="F92" s="19">
        <v>0.2</v>
      </c>
      <c r="G92" s="19">
        <v>0.01</v>
      </c>
      <c r="K92" t="s">
        <v>56</v>
      </c>
      <c r="O92" s="15">
        <f>$L$23</f>
        <v>0.35299999999999998</v>
      </c>
    </row>
    <row r="93" spans="2:15" x14ac:dyDescent="0.3">
      <c r="B93" t="s">
        <v>52</v>
      </c>
      <c r="F93" s="19">
        <v>0.08</v>
      </c>
      <c r="G93" s="19">
        <v>5.0000000000000001E-3</v>
      </c>
      <c r="K93" t="s">
        <v>6</v>
      </c>
      <c r="O93" s="15">
        <f>$H$23</f>
        <v>0.11</v>
      </c>
    </row>
    <row r="94" spans="2:15" x14ac:dyDescent="0.3">
      <c r="B94" t="s">
        <v>59</v>
      </c>
      <c r="F94" s="20">
        <v>2023</v>
      </c>
      <c r="K94" t="s">
        <v>7</v>
      </c>
      <c r="O94" s="15">
        <f>H$22</f>
        <v>0.38600000000000001</v>
      </c>
    </row>
    <row r="95" spans="2:15" x14ac:dyDescent="0.3">
      <c r="B95" t="s">
        <v>58</v>
      </c>
      <c r="F95" s="19">
        <v>0.02</v>
      </c>
      <c r="K95" t="s">
        <v>17</v>
      </c>
      <c r="O95" s="15">
        <v>0</v>
      </c>
    </row>
    <row r="96" spans="2:15" x14ac:dyDescent="0.3">
      <c r="K96" t="s">
        <v>12</v>
      </c>
      <c r="O96" s="15">
        <f>$L$24</f>
        <v>0.04</v>
      </c>
    </row>
    <row r="98" spans="2:15" x14ac:dyDescent="0.3">
      <c r="D98">
        <v>2018</v>
      </c>
      <c r="E98">
        <f t="shared" ref="E98" si="54">D98+1</f>
        <v>2019</v>
      </c>
      <c r="F98">
        <f t="shared" ref="F98" si="55">E98+1</f>
        <v>2020</v>
      </c>
      <c r="G98">
        <f t="shared" ref="G98" si="56">F98+1</f>
        <v>2021</v>
      </c>
      <c r="H98">
        <f t="shared" ref="H98" si="57">G98+1</f>
        <v>2022</v>
      </c>
      <c r="I98">
        <f t="shared" ref="I98" si="58">H98+1</f>
        <v>2023</v>
      </c>
      <c r="J98">
        <f t="shared" ref="J98" si="59">I98+1</f>
        <v>2024</v>
      </c>
      <c r="K98">
        <f t="shared" ref="K98" si="60">J98+1</f>
        <v>2025</v>
      </c>
      <c r="L98">
        <f t="shared" ref="L98" si="61">K98+1</f>
        <v>2026</v>
      </c>
      <c r="M98">
        <f t="shared" ref="M98" si="62">L98+1</f>
        <v>2027</v>
      </c>
      <c r="N98">
        <f t="shared" ref="N98" si="63">M98+1</f>
        <v>2028</v>
      </c>
      <c r="O98" t="s">
        <v>11</v>
      </c>
    </row>
    <row r="99" spans="2:15" x14ac:dyDescent="0.3">
      <c r="B99" t="s">
        <v>53</v>
      </c>
      <c r="D99" s="1">
        <f>O91</f>
        <v>1</v>
      </c>
      <c r="E99" s="1">
        <f>D99-IF(E98&lt;($E98+$O90), -$F91,-$F92)-IF(E98=$F94,$F95,0)+IF(E98=$E98+$O90,$F89,0)</f>
        <v>1.077</v>
      </c>
      <c r="F99" s="1">
        <f>E99-IF(F98&lt;($E98+$O90), -$F91,-$F92)-IF(F98=$F94,$F95,0)+IF(F98=$E98+$O90,$F89,0)</f>
        <v>1.1539999999999999</v>
      </c>
      <c r="G99" s="1">
        <f>F99-IF(G98&lt;($E98+$O90), -$F91,-$F92)-IF(G98=$F94,$F95,0)+IF(G98=$E98+$O90,$F89,0)</f>
        <v>1.5539999999999998</v>
      </c>
      <c r="H99" s="1">
        <f t="shared" ref="H99" si="64">G99-IF(H98&lt;($E98+$O90), -$F91,-$F92)-IF(H98=$F94,$F95,0)+IF(H98=$E98+$O90,$F89,0)+IF(H98&gt;$F94,$F93-$F92,0)</f>
        <v>1.7539999999999998</v>
      </c>
      <c r="I99" s="1">
        <f t="shared" ref="I99" si="65">H99-IF(I98&lt;($E98+$O90), -$F91,-$F92)-IF(I98=$F94,$F95,0)+IF(I98=$E98+$O90,$F89,0)+IF(I98&gt;$F94,$F93-$F92,0)</f>
        <v>1.9339999999999997</v>
      </c>
      <c r="J99" s="1">
        <f t="shared" ref="J99" si="66">I99-IF(J98&lt;($E98+$O90), -$F91,-$F92)-IF(J98=$F94,$F95,0)+IF(J98=$E98+$O90,$F89,0)+IF(J98&gt;$F94,$F93-$F92,0)</f>
        <v>2.0139999999999998</v>
      </c>
      <c r="K99" s="1">
        <f t="shared" ref="K99" si="67">J99-IF(K98&lt;($E98+$O90), -$F91,-$F92)-IF(K98=$F94,$F95,0)+IF(K98=$E98+$O90,$F89,0)+IF(K98&gt;$F94,$F93-$F92,0)</f>
        <v>2.0939999999999999</v>
      </c>
      <c r="L99" s="1">
        <f t="shared" ref="L99" si="68">K99-IF(L98&lt;($E98+$O90), -$F91,-$F92)-IF(L98=$F94,$F95,0)+IF(L98=$E98+$O90,$F89,0)+IF(L98&gt;$F94,$F93-$F92,0)</f>
        <v>2.1739999999999999</v>
      </c>
      <c r="M99" s="1">
        <f t="shared" ref="M99" si="69">L99-IF(M98&lt;($E98+$O90), -$F91,-$F92)-IF(M98=$F94,$F95,0)+IF(M98=$E98+$O90,$F89,0)+IF(M98&gt;$F94,$F93-$F92,0)</f>
        <v>2.254</v>
      </c>
      <c r="N99" s="1">
        <f t="shared" ref="N99" si="70">M99-IF(N98&lt;($E98+$O90), -$F91,-$F92)-IF(N98=$F94,$F95,0)+IF(N98=$E98+$O90,$F89,0)+IF(N98&gt;$F94,$F93-$F92,0)</f>
        <v>2.3340000000000001</v>
      </c>
    </row>
    <row r="100" spans="2:15" hidden="1" x14ac:dyDescent="0.3">
      <c r="B100" t="s">
        <v>13</v>
      </c>
      <c r="D100" s="5">
        <f>IF($O$22="Y",$J$25,0)</f>
        <v>0</v>
      </c>
      <c r="E100" s="5">
        <f t="shared" ref="E100" si="71">(1+(E101-D101)/D101)*D100</f>
        <v>0</v>
      </c>
      <c r="F100" s="5">
        <f t="shared" ref="F100" si="72">(1+(F101-E101)/E101)*E100</f>
        <v>0</v>
      </c>
      <c r="G100" s="5">
        <f t="shared" ref="G100" si="73">(1+(G101-F101)/F101)*F100</f>
        <v>0</v>
      </c>
      <c r="H100" s="5">
        <f t="shared" ref="H100" si="74">(1+(H101-G101)/G101)*G100</f>
        <v>0</v>
      </c>
      <c r="I100" s="5">
        <f t="shared" ref="I100" si="75">(1+(I101-H101)/H101)*H100</f>
        <v>0</v>
      </c>
      <c r="J100" s="5">
        <f t="shared" ref="J100" si="76">(1+(J101-I101)/I101)*I100</f>
        <v>0</v>
      </c>
      <c r="K100" s="5">
        <f t="shared" ref="K100" si="77">(1+(K101-J101)/J101)*J100</f>
        <v>0</v>
      </c>
      <c r="L100" s="5">
        <f t="shared" ref="L100" si="78">(1+(L101-K101)/K101)*K100</f>
        <v>0</v>
      </c>
      <c r="M100" s="5">
        <f t="shared" ref="M100" si="79">(1+(M101-L101)/L101)*L100</f>
        <v>0</v>
      </c>
      <c r="N100" s="5">
        <f t="shared" ref="N100" si="80">(1+(N101-M101)/M101)*M100</f>
        <v>0</v>
      </c>
    </row>
    <row r="101" spans="2:15" x14ac:dyDescent="0.3">
      <c r="B101" t="s">
        <v>0</v>
      </c>
      <c r="D101" s="10">
        <f>$C$21</f>
        <v>15724</v>
      </c>
      <c r="E101" s="10">
        <f>E99*$D101</f>
        <v>16934.748</v>
      </c>
      <c r="F101" s="10">
        <f t="shared" ref="F101:N101" si="81">F99*$D101</f>
        <v>18145.495999999999</v>
      </c>
      <c r="G101" s="10">
        <f t="shared" si="81"/>
        <v>24435.095999999998</v>
      </c>
      <c r="H101" s="10">
        <f t="shared" si="81"/>
        <v>27579.895999999997</v>
      </c>
      <c r="I101" s="10">
        <f t="shared" si="81"/>
        <v>30410.215999999997</v>
      </c>
      <c r="J101" s="10">
        <f t="shared" si="81"/>
        <v>31668.135999999995</v>
      </c>
      <c r="K101" s="10">
        <f t="shared" si="81"/>
        <v>32926.055999999997</v>
      </c>
      <c r="L101" s="10">
        <f t="shared" si="81"/>
        <v>34183.976000000002</v>
      </c>
      <c r="M101" s="10">
        <f t="shared" si="81"/>
        <v>35441.896000000001</v>
      </c>
      <c r="N101" s="10">
        <f t="shared" si="81"/>
        <v>36699.815999999999</v>
      </c>
    </row>
    <row r="102" spans="2:15" x14ac:dyDescent="0.3">
      <c r="B102" t="s">
        <v>1</v>
      </c>
      <c r="D102" s="1">
        <f>O92</f>
        <v>0.35299999999999998</v>
      </c>
      <c r="E102" s="1">
        <f>D102+IF(E98&lt;($E98+$O90), $G91,0)+IF(AND(E98&gt;$E98+$O90,E98&lt;$F94),$G92,0)+IF(AND(E98&gt;$E98+$O90,E98&gt;$F94-1),$G93,0)</f>
        <v>0.35299999999999998</v>
      </c>
      <c r="F102" s="1">
        <f t="shared" ref="F102" si="82">E102+IF(F98&lt;($E98+$O90), $G91,0)+IF(AND(F98&gt;$E98+$O90,F98&lt;$F94),$G92,0)+IF(AND(F98&gt;$E98+$O90,F98&gt;$F94-1),$G93,0)</f>
        <v>0.35299999999999998</v>
      </c>
      <c r="G102" s="1">
        <f t="shared" ref="G102" si="83">F102+IF(G98&lt;($E98+$O90), $G91,0)+IF(AND(G98&gt;$E98+$O90,G98&lt;$F94),$G92,0)+IF(AND(G98&gt;$E98+$O90,G98&gt;$F94-1),$G93,0)</f>
        <v>0.35299999999999998</v>
      </c>
      <c r="H102" s="1">
        <f t="shared" ref="H102" si="84">G102+IF(H98&lt;($E98+$O90), $G91,0)+IF(AND(H98&gt;$E98+$O90,H98&lt;$F94),$G92,0)+IF(AND(H98&gt;$E98+$O90,H98&gt;$F94-1),$G93,0)</f>
        <v>0.36299999999999999</v>
      </c>
      <c r="I102" s="1">
        <f t="shared" ref="I102" si="85">H102+IF(I98&lt;($E98+$O90), $G91,0)+IF(AND(I98&gt;$E98+$O90,I98&lt;$F94),$G92,0)+IF(AND(I98&gt;$E98+$O90,I98&gt;$F94-1),$G93,0)</f>
        <v>0.36799999999999999</v>
      </c>
      <c r="J102" s="1">
        <f t="shared" ref="J102" si="86">I102+IF(J98&lt;($E98+$O90), $G91,0)+IF(AND(J98&gt;$E98+$O90,J98&lt;$F94),$G92,0)+IF(AND(J98&gt;$E98+$O90,J98&gt;$F94-1),$G93,0)</f>
        <v>0.373</v>
      </c>
      <c r="K102" s="1">
        <f t="shared" ref="K102" si="87">J102+IF(K98&lt;($E98+$O90), $G91,0)+IF(AND(K98&gt;$E98+$O90,K98&lt;$F94),$G92,0)+IF(AND(K98&gt;$E98+$O90,K98&gt;$F94-1),$G93,0)</f>
        <v>0.378</v>
      </c>
      <c r="L102" s="1">
        <f t="shared" ref="L102" si="88">K102+IF(L98&lt;($E98+$O90), $G91,0)+IF(AND(L98&gt;$E98+$O90,L98&lt;$F94),$G92,0)+IF(AND(L98&gt;$E98+$O90,L98&gt;$F94-1),$G93,0)</f>
        <v>0.38300000000000001</v>
      </c>
      <c r="M102" s="1">
        <f t="shared" ref="M102" si="89">L102+IF(M98&lt;($E98+$O90), $G91,0)+IF(AND(M98&gt;$E98+$O90,M98&lt;$F94),$G92,0)+IF(AND(M98&gt;$E98+$O90,M98&gt;$F94-1),$G93,0)</f>
        <v>0.38800000000000001</v>
      </c>
      <c r="N102" s="1">
        <f t="shared" ref="N102" si="90">M102+IF(N98&lt;($E98+$O90), $G91,0)+IF(AND(N98&gt;$E98+$O90,N98&lt;$F94),$G92,0)+IF(AND(N98&gt;$E98+$O90,N98&gt;$F94-1),$G93,0)</f>
        <v>0.39300000000000002</v>
      </c>
    </row>
    <row r="103" spans="2:15" x14ac:dyDescent="0.3">
      <c r="B103" t="s">
        <v>2</v>
      </c>
      <c r="D103" s="27">
        <f t="shared" ref="D103:N103" si="91">D102*(D101+D100)</f>
        <v>5550.5720000000001</v>
      </c>
      <c r="E103" s="27">
        <f t="shared" si="91"/>
        <v>5977.9660439999998</v>
      </c>
      <c r="F103" s="27">
        <f t="shared" si="91"/>
        <v>6405.3600879999995</v>
      </c>
      <c r="G103" s="27">
        <f t="shared" si="91"/>
        <v>8625.5888879999984</v>
      </c>
      <c r="H103" s="27">
        <f t="shared" si="91"/>
        <v>10011.502247999999</v>
      </c>
      <c r="I103" s="27">
        <f t="shared" si="91"/>
        <v>11190.959487999999</v>
      </c>
      <c r="J103" s="27">
        <f t="shared" si="91"/>
        <v>11812.214727999997</v>
      </c>
      <c r="K103" s="27">
        <f t="shared" si="91"/>
        <v>12446.049168</v>
      </c>
      <c r="L103" s="27">
        <f t="shared" si="91"/>
        <v>13092.462808000002</v>
      </c>
      <c r="M103" s="27">
        <f t="shared" si="91"/>
        <v>13751.455648000001</v>
      </c>
      <c r="N103" s="27">
        <f t="shared" si="91"/>
        <v>14423.027688</v>
      </c>
      <c r="O103" s="27"/>
    </row>
    <row r="104" spans="2:15" x14ac:dyDescent="0.3">
      <c r="B104" t="s">
        <v>3</v>
      </c>
      <c r="D104" s="27">
        <f t="shared" ref="D104:N104" si="92">(D101+D100)*$H$21</f>
        <v>4575.6839999999993</v>
      </c>
      <c r="E104" s="27">
        <f t="shared" si="92"/>
        <v>4928.0116679999992</v>
      </c>
      <c r="F104" s="27">
        <f t="shared" si="92"/>
        <v>5280.3393359999991</v>
      </c>
      <c r="G104" s="27">
        <f t="shared" si="92"/>
        <v>7110.6129359999986</v>
      </c>
      <c r="H104" s="27">
        <f t="shared" si="92"/>
        <v>8025.7497359999988</v>
      </c>
      <c r="I104" s="27">
        <f t="shared" si="92"/>
        <v>8849.3728559999981</v>
      </c>
      <c r="J104" s="27">
        <f t="shared" si="92"/>
        <v>9215.4275759999982</v>
      </c>
      <c r="K104" s="27">
        <f t="shared" si="92"/>
        <v>9581.4822959999983</v>
      </c>
      <c r="L104" s="27">
        <f t="shared" si="92"/>
        <v>9947.5370160000002</v>
      </c>
      <c r="M104" s="27">
        <f t="shared" si="92"/>
        <v>10313.591736</v>
      </c>
      <c r="N104" s="27">
        <f t="shared" si="92"/>
        <v>10679.646455999999</v>
      </c>
      <c r="O104" s="27"/>
    </row>
    <row r="105" spans="2:15" x14ac:dyDescent="0.3">
      <c r="B105" t="s">
        <v>4</v>
      </c>
      <c r="D105" s="27">
        <f>D103-D104</f>
        <v>974.88800000000083</v>
      </c>
      <c r="E105" s="27">
        <f>E103-E104</f>
        <v>1049.9543760000006</v>
      </c>
      <c r="F105" s="27">
        <f t="shared" ref="F105:N105" si="93">F103-F104</f>
        <v>1125.0207520000004</v>
      </c>
      <c r="G105" s="27">
        <f t="shared" si="93"/>
        <v>1514.9759519999998</v>
      </c>
      <c r="H105" s="27">
        <f t="shared" si="93"/>
        <v>1985.752512</v>
      </c>
      <c r="I105" s="27">
        <f t="shared" si="93"/>
        <v>2341.5866320000005</v>
      </c>
      <c r="J105" s="27">
        <f t="shared" si="93"/>
        <v>2596.787151999999</v>
      </c>
      <c r="K105" s="27">
        <f t="shared" si="93"/>
        <v>2864.5668720000012</v>
      </c>
      <c r="L105" s="27">
        <f t="shared" si="93"/>
        <v>3144.9257920000018</v>
      </c>
      <c r="M105" s="27">
        <f t="shared" si="93"/>
        <v>3437.8639120000007</v>
      </c>
      <c r="N105" s="27">
        <f t="shared" si="93"/>
        <v>3743.3812320000015</v>
      </c>
      <c r="O105" s="27"/>
    </row>
    <row r="106" spans="2:15" x14ac:dyDescent="0.3">
      <c r="B106" t="s">
        <v>8</v>
      </c>
      <c r="D106" s="27">
        <f t="shared" ref="D106:N106" si="94">D105*$O94</f>
        <v>376.30676800000032</v>
      </c>
      <c r="E106" s="27">
        <f t="shared" si="94"/>
        <v>405.28238913600023</v>
      </c>
      <c r="F106" s="27">
        <f t="shared" si="94"/>
        <v>434.25801027200015</v>
      </c>
      <c r="G106" s="27">
        <f t="shared" si="94"/>
        <v>584.78071747199988</v>
      </c>
      <c r="H106" s="27">
        <f t="shared" si="94"/>
        <v>766.50046963199998</v>
      </c>
      <c r="I106" s="27">
        <f t="shared" si="94"/>
        <v>903.85243995200017</v>
      </c>
      <c r="J106" s="27">
        <f t="shared" si="94"/>
        <v>1002.3598406719997</v>
      </c>
      <c r="K106" s="27">
        <f t="shared" si="94"/>
        <v>1105.7228125920005</v>
      </c>
      <c r="L106" s="27">
        <f t="shared" si="94"/>
        <v>1213.9413557120008</v>
      </c>
      <c r="M106" s="27">
        <f t="shared" si="94"/>
        <v>1327.0154700320004</v>
      </c>
      <c r="N106" s="27">
        <f t="shared" si="94"/>
        <v>1444.9451555520006</v>
      </c>
      <c r="O106" s="27"/>
    </row>
    <row r="107" spans="2:15" x14ac:dyDescent="0.3">
      <c r="B107" t="s">
        <v>9</v>
      </c>
      <c r="D107" s="27">
        <f>D105-D106</f>
        <v>598.58123200000045</v>
      </c>
      <c r="E107" s="27">
        <f t="shared" ref="E107:N107" si="95">E105-E106</f>
        <v>644.67198686400036</v>
      </c>
      <c r="F107" s="27">
        <f t="shared" si="95"/>
        <v>690.76274172800026</v>
      </c>
      <c r="G107" s="27">
        <f t="shared" si="95"/>
        <v>930.1952345279999</v>
      </c>
      <c r="H107" s="27">
        <f t="shared" si="95"/>
        <v>1219.252042368</v>
      </c>
      <c r="I107" s="27">
        <f t="shared" si="95"/>
        <v>1437.7341920480003</v>
      </c>
      <c r="J107" s="27">
        <f t="shared" si="95"/>
        <v>1594.4273113279992</v>
      </c>
      <c r="K107" s="27">
        <f t="shared" si="95"/>
        <v>1758.8440594080007</v>
      </c>
      <c r="L107" s="27">
        <f t="shared" si="95"/>
        <v>1930.984436288001</v>
      </c>
      <c r="M107" s="27">
        <f t="shared" si="95"/>
        <v>2110.8484419680003</v>
      </c>
      <c r="N107" s="27">
        <f t="shared" si="95"/>
        <v>2298.4360764480007</v>
      </c>
      <c r="O107" s="27"/>
    </row>
    <row r="108" spans="2:15" x14ac:dyDescent="0.3">
      <c r="B108" t="s">
        <v>10</v>
      </c>
      <c r="D108" s="27">
        <f t="shared" ref="D108:N108" si="96">D107/(1+$O93)^(D98-2018)</f>
        <v>598.58123200000045</v>
      </c>
      <c r="E108" s="27">
        <f t="shared" si="96"/>
        <v>580.78557375135165</v>
      </c>
      <c r="F108" s="27">
        <f t="shared" si="96"/>
        <v>560.63853723561408</v>
      </c>
      <c r="G108" s="27">
        <f t="shared" si="96"/>
        <v>680.15073841408957</v>
      </c>
      <c r="H108" s="27">
        <f t="shared" si="96"/>
        <v>803.15908559735362</v>
      </c>
      <c r="I108" s="27">
        <f t="shared" si="96"/>
        <v>853.22526566608451</v>
      </c>
      <c r="J108" s="27">
        <f t="shared" si="96"/>
        <v>852.44595081120542</v>
      </c>
      <c r="K108" s="27">
        <f t="shared" si="96"/>
        <v>847.16203465918704</v>
      </c>
      <c r="L108" s="27">
        <f t="shared" si="96"/>
        <v>837.90531084446104</v>
      </c>
      <c r="M108" s="27">
        <f t="shared" si="96"/>
        <v>825.18294472009939</v>
      </c>
      <c r="N108" s="27">
        <f t="shared" si="96"/>
        <v>809.47351158026993</v>
      </c>
      <c r="O108" s="27">
        <f>N108/(O93-O96)</f>
        <v>11563.90730828957</v>
      </c>
    </row>
    <row r="110" spans="2:15" x14ac:dyDescent="0.3">
      <c r="B110" t="s">
        <v>20</v>
      </c>
      <c r="D110" s="10">
        <f>SUM(E108:O108)</f>
        <v>19214.036261569287</v>
      </c>
      <c r="E110" s="13" t="s">
        <v>22</v>
      </c>
    </row>
    <row r="111" spans="2:15" x14ac:dyDescent="0.3">
      <c r="B111" t="s">
        <v>14</v>
      </c>
      <c r="D111" s="27">
        <f>IF(OR(F89&gt;0, F91&lt;&gt;F92),O89,0)</f>
        <v>13700</v>
      </c>
      <c r="E111" s="13"/>
    </row>
    <row r="112" spans="2:15" x14ac:dyDescent="0.3">
      <c r="B112" t="s">
        <v>21</v>
      </c>
      <c r="D112" s="27">
        <f>D110-D111</f>
        <v>5514.0362615692866</v>
      </c>
      <c r="E112" s="13"/>
    </row>
    <row r="113" spans="2:15" x14ac:dyDescent="0.3">
      <c r="D113" s="10"/>
      <c r="E113" s="13"/>
    </row>
    <row r="116" spans="2:15" ht="17.399999999999999" thickBot="1" x14ac:dyDescent="0.4">
      <c r="B116" s="47" t="s">
        <v>146</v>
      </c>
      <c r="C116" s="47"/>
      <c r="D116" s="47"/>
      <c r="E116" s="7"/>
      <c r="F116" s="7"/>
      <c r="G116" s="7"/>
      <c r="H116" s="7"/>
      <c r="I116" s="7"/>
      <c r="J116" s="7"/>
      <c r="K116" s="7"/>
      <c r="L116" s="7"/>
      <c r="M116" s="7"/>
      <c r="N116" s="7"/>
      <c r="O116" s="7"/>
    </row>
    <row r="118" spans="2:15" x14ac:dyDescent="0.3">
      <c r="B118" s="2" t="s">
        <v>19</v>
      </c>
      <c r="I118" s="2"/>
      <c r="K118" s="2" t="s">
        <v>16</v>
      </c>
    </row>
    <row r="119" spans="2:15" x14ac:dyDescent="0.3">
      <c r="B119" s="9" t="s">
        <v>62</v>
      </c>
      <c r="F119" s="19">
        <v>0</v>
      </c>
      <c r="K119" t="s">
        <v>64</v>
      </c>
      <c r="O119" s="29">
        <v>13700</v>
      </c>
    </row>
    <row r="120" spans="2:15" x14ac:dyDescent="0.3">
      <c r="B120" t="s">
        <v>63</v>
      </c>
      <c r="F120" s="28" t="s">
        <v>61</v>
      </c>
      <c r="G120" s="28" t="s">
        <v>65</v>
      </c>
      <c r="K120" t="s">
        <v>66</v>
      </c>
      <c r="O120" s="14">
        <v>2</v>
      </c>
    </row>
    <row r="121" spans="2:15" x14ac:dyDescent="0.3">
      <c r="B121" t="s">
        <v>50</v>
      </c>
      <c r="F121" s="19">
        <v>7.6999999999999999E-2</v>
      </c>
      <c r="G121" s="19">
        <v>-3.0000000000000001E-3</v>
      </c>
      <c r="K121" t="s">
        <v>57</v>
      </c>
      <c r="O121" s="15">
        <v>1</v>
      </c>
    </row>
    <row r="122" spans="2:15" x14ac:dyDescent="0.3">
      <c r="B122" t="s">
        <v>51</v>
      </c>
      <c r="F122" s="19">
        <v>0.1</v>
      </c>
      <c r="G122" s="19">
        <v>0</v>
      </c>
      <c r="K122" t="s">
        <v>56</v>
      </c>
      <c r="O122" s="15">
        <f>$L$23</f>
        <v>0.35299999999999998</v>
      </c>
    </row>
    <row r="123" spans="2:15" x14ac:dyDescent="0.3">
      <c r="B123" t="s">
        <v>52</v>
      </c>
      <c r="F123" s="19">
        <v>7.6999999999999999E-2</v>
      </c>
      <c r="G123" s="19">
        <v>-3.0000000000000001E-3</v>
      </c>
      <c r="K123" t="s">
        <v>6</v>
      </c>
      <c r="O123" s="15">
        <f>$H$23</f>
        <v>0.11</v>
      </c>
    </row>
    <row r="124" spans="2:15" x14ac:dyDescent="0.3">
      <c r="B124" t="s">
        <v>59</v>
      </c>
      <c r="F124" s="20">
        <v>2023</v>
      </c>
      <c r="K124" t="s">
        <v>7</v>
      </c>
      <c r="O124" s="15">
        <f>H$22</f>
        <v>0.38600000000000001</v>
      </c>
    </row>
    <row r="125" spans="2:15" x14ac:dyDescent="0.3">
      <c r="B125" t="s">
        <v>58</v>
      </c>
      <c r="F125" s="19">
        <v>0.02</v>
      </c>
      <c r="K125" t="s">
        <v>17</v>
      </c>
      <c r="O125" s="15">
        <v>0</v>
      </c>
    </row>
    <row r="126" spans="2:15" x14ac:dyDescent="0.3">
      <c r="K126" t="s">
        <v>12</v>
      </c>
      <c r="O126" s="15">
        <f>$L$24</f>
        <v>0.04</v>
      </c>
    </row>
    <row r="128" spans="2:15" x14ac:dyDescent="0.3">
      <c r="D128">
        <v>2018</v>
      </c>
      <c r="E128">
        <f t="shared" ref="E128" si="97">D128+1</f>
        <v>2019</v>
      </c>
      <c r="F128">
        <f t="shared" ref="F128" si="98">E128+1</f>
        <v>2020</v>
      </c>
      <c r="G128">
        <f t="shared" ref="G128" si="99">F128+1</f>
        <v>2021</v>
      </c>
      <c r="H128">
        <f t="shared" ref="H128" si="100">G128+1</f>
        <v>2022</v>
      </c>
      <c r="I128">
        <f t="shared" ref="I128" si="101">H128+1</f>
        <v>2023</v>
      </c>
      <c r="J128">
        <f t="shared" ref="J128" si="102">I128+1</f>
        <v>2024</v>
      </c>
      <c r="K128">
        <f t="shared" ref="K128" si="103">J128+1</f>
        <v>2025</v>
      </c>
      <c r="L128">
        <f t="shared" ref="L128" si="104">K128+1</f>
        <v>2026</v>
      </c>
      <c r="M128">
        <f t="shared" ref="M128" si="105">L128+1</f>
        <v>2027</v>
      </c>
      <c r="N128">
        <f t="shared" ref="N128" si="106">M128+1</f>
        <v>2028</v>
      </c>
      <c r="O128" t="s">
        <v>11</v>
      </c>
    </row>
    <row r="129" spans="2:15" x14ac:dyDescent="0.3">
      <c r="B129" t="s">
        <v>53</v>
      </c>
      <c r="D129" s="1">
        <f>O121</f>
        <v>1</v>
      </c>
      <c r="E129" s="1">
        <f>D129-IF(E128&lt;($E128+$O120), -$F121,-$F122)-IF(E128=$F124,$F125,0)+IF(E128=$E128+$O120,$F119,0)</f>
        <v>1.077</v>
      </c>
      <c r="F129" s="1">
        <f>E129-IF(F128&lt;($E128+$O120), -$F121,-$F122)-IF(F128=$F124,$F125,0)+IF(F128=$E128+$O120,$F119,0)</f>
        <v>1.1539999999999999</v>
      </c>
      <c r="G129" s="1">
        <f>F129-IF(G128&lt;($E128+$O120), -$F121,-$F122)-IF(G128=$F124,$F125,0)+IF(G128=$E128+$O120,$F119,0)</f>
        <v>1.254</v>
      </c>
      <c r="H129" s="1">
        <f t="shared" ref="H129" si="107">G129-IF(H128&lt;($E128+$O120), -$F121,-$F122)-IF(H128=$F124,$F125,0)+IF(H128=$E128+$O120,$F119,0)+IF(H128&gt;$F124,$F123-$F122,0)</f>
        <v>1.3540000000000001</v>
      </c>
      <c r="I129" s="1">
        <f t="shared" ref="I129" si="108">H129-IF(I128&lt;($E128+$O120), -$F121,-$F122)-IF(I128=$F124,$F125,0)+IF(I128=$E128+$O120,$F119,0)+IF(I128&gt;$F124,$F123-$F122,0)</f>
        <v>1.4340000000000002</v>
      </c>
      <c r="J129" s="1">
        <f t="shared" ref="J129" si="109">I129-IF(J128&lt;($E128+$O120), -$F121,-$F122)-IF(J128=$F124,$F125,0)+IF(J128=$E128+$O120,$F119,0)+IF(J128&gt;$F124,$F123-$F122,0)</f>
        <v>1.5110000000000003</v>
      </c>
      <c r="K129" s="1">
        <f t="shared" ref="K129" si="110">J129-IF(K128&lt;($E128+$O120), -$F121,-$F122)-IF(K128=$F124,$F125,0)+IF(K128=$E128+$O120,$F119,0)+IF(K128&gt;$F124,$F123-$F122,0)</f>
        <v>1.5880000000000005</v>
      </c>
      <c r="L129" s="1">
        <f t="shared" ref="L129" si="111">K129-IF(L128&lt;($E128+$O120), -$F121,-$F122)-IF(L128=$F124,$F125,0)+IF(L128=$E128+$O120,$F119,0)+IF(L128&gt;$F124,$F123-$F122,0)</f>
        <v>1.6650000000000007</v>
      </c>
      <c r="M129" s="1">
        <f t="shared" ref="M129" si="112">L129-IF(M128&lt;($E128+$O120), -$F121,-$F122)-IF(M128=$F124,$F125,0)+IF(M128=$E128+$O120,$F119,0)+IF(M128&gt;$F124,$F123-$F122,0)</f>
        <v>1.7420000000000009</v>
      </c>
      <c r="N129" s="1">
        <f t="shared" ref="N129" si="113">M129-IF(N128&lt;($E128+$O120), -$F121,-$F122)-IF(N128=$F124,$F125,0)+IF(N128=$E128+$O120,$F119,0)+IF(N128&gt;$F124,$F123-$F122,0)</f>
        <v>1.8190000000000011</v>
      </c>
    </row>
    <row r="130" spans="2:15" hidden="1" x14ac:dyDescent="0.3">
      <c r="B130" t="s">
        <v>13</v>
      </c>
      <c r="D130" s="5">
        <f>IF($O$22="Y",$J$25,0)</f>
        <v>0</v>
      </c>
      <c r="E130" s="5">
        <f t="shared" ref="E130" si="114">(1+(E131-D131)/D131)*D130</f>
        <v>0</v>
      </c>
      <c r="F130" s="5">
        <f t="shared" ref="F130" si="115">(1+(F131-E131)/E131)*E130</f>
        <v>0</v>
      </c>
      <c r="G130" s="5">
        <f t="shared" ref="G130" si="116">(1+(G131-F131)/F131)*F130</f>
        <v>0</v>
      </c>
      <c r="H130" s="5">
        <f t="shared" ref="H130" si="117">(1+(H131-G131)/G131)*G130</f>
        <v>0</v>
      </c>
      <c r="I130" s="5">
        <f t="shared" ref="I130" si="118">(1+(I131-H131)/H131)*H130</f>
        <v>0</v>
      </c>
      <c r="J130" s="5">
        <f t="shared" ref="J130" si="119">(1+(J131-I131)/I131)*I130</f>
        <v>0</v>
      </c>
      <c r="K130" s="5">
        <f t="shared" ref="K130" si="120">(1+(K131-J131)/J131)*J130</f>
        <v>0</v>
      </c>
      <c r="L130" s="5">
        <f t="shared" ref="L130" si="121">(1+(L131-K131)/K131)*K130</f>
        <v>0</v>
      </c>
      <c r="M130" s="5">
        <f t="shared" ref="M130" si="122">(1+(M131-L131)/L131)*L130</f>
        <v>0</v>
      </c>
      <c r="N130" s="5">
        <f t="shared" ref="N130" si="123">(1+(N131-M131)/M131)*M130</f>
        <v>0</v>
      </c>
    </row>
    <row r="131" spans="2:15" x14ac:dyDescent="0.3">
      <c r="B131" t="s">
        <v>0</v>
      </c>
      <c r="D131" s="10">
        <f>$C$21</f>
        <v>15724</v>
      </c>
      <c r="E131" s="10">
        <f>E129*$D131</f>
        <v>16934.748</v>
      </c>
      <c r="F131" s="10">
        <f t="shared" ref="F131:N131" si="124">F129*$D131</f>
        <v>18145.495999999999</v>
      </c>
      <c r="G131" s="10">
        <f t="shared" si="124"/>
        <v>19717.896000000001</v>
      </c>
      <c r="H131" s="10">
        <f t="shared" si="124"/>
        <v>21290.296000000002</v>
      </c>
      <c r="I131" s="10">
        <f t="shared" si="124"/>
        <v>22548.216000000004</v>
      </c>
      <c r="J131" s="10">
        <f t="shared" si="124"/>
        <v>23758.964000000004</v>
      </c>
      <c r="K131" s="10">
        <f t="shared" si="124"/>
        <v>24969.712000000007</v>
      </c>
      <c r="L131" s="10">
        <f t="shared" si="124"/>
        <v>26180.46000000001</v>
      </c>
      <c r="M131" s="10">
        <f t="shared" si="124"/>
        <v>27391.208000000013</v>
      </c>
      <c r="N131" s="10">
        <f t="shared" si="124"/>
        <v>28601.956000000017</v>
      </c>
    </row>
    <row r="132" spans="2:15" x14ac:dyDescent="0.3">
      <c r="B132" t="s">
        <v>1</v>
      </c>
      <c r="D132" s="1">
        <f>O122</f>
        <v>0.35299999999999998</v>
      </c>
      <c r="E132" s="1">
        <f>D132+IF(E128&lt;($E128+$O120), $G121,0)+IF(AND(E128&gt;$E128+$O120,E128&lt;$F124),$G122,0)+IF(AND(E128&gt;$E128+$O120,E128&gt;$F124-1),$G123,0)</f>
        <v>0.35</v>
      </c>
      <c r="F132" s="1">
        <f t="shared" ref="F132" si="125">E132+IF(F128&lt;($E128+$O120), $G121,0)+IF(AND(F128&gt;$E128+$O120,F128&lt;$F124),$G122,0)+IF(AND(F128&gt;$E128+$O120,F128&gt;$F124-1),$G123,0)</f>
        <v>0.34699999999999998</v>
      </c>
      <c r="G132" s="1">
        <f t="shared" ref="G132" si="126">F132+IF(G128&lt;($E128+$O120), $G121,0)+IF(AND(G128&gt;$E128+$O120,G128&lt;$F124),$G122,0)+IF(AND(G128&gt;$E128+$O120,G128&gt;$F124-1),$G123,0)</f>
        <v>0.34699999999999998</v>
      </c>
      <c r="H132" s="1">
        <f t="shared" ref="H132" si="127">G132+IF(H128&lt;($E128+$O120), $G121,0)+IF(AND(H128&gt;$E128+$O120,H128&lt;$F124),$G122,0)+IF(AND(H128&gt;$E128+$O120,H128&gt;$F124-1),$G123,0)</f>
        <v>0.34699999999999998</v>
      </c>
      <c r="I132" s="1">
        <f t="shared" ref="I132" si="128">H132+IF(I128&lt;($E128+$O120), $G121,0)+IF(AND(I128&gt;$E128+$O120,I128&lt;$F124),$G122,0)+IF(AND(I128&gt;$E128+$O120,I128&gt;$F124-1),$G123,0)</f>
        <v>0.34399999999999997</v>
      </c>
      <c r="J132" s="1">
        <f t="shared" ref="J132" si="129">I132+IF(J128&lt;($E128+$O120), $G121,0)+IF(AND(J128&gt;$E128+$O120,J128&lt;$F124),$G122,0)+IF(AND(J128&gt;$E128+$O120,J128&gt;$F124-1),$G123,0)</f>
        <v>0.34099999999999997</v>
      </c>
      <c r="K132" s="1">
        <f t="shared" ref="K132" si="130">J132+IF(K128&lt;($E128+$O120), $G121,0)+IF(AND(K128&gt;$E128+$O120,K128&lt;$F124),$G122,0)+IF(AND(K128&gt;$E128+$O120,K128&gt;$F124-1),$G123,0)</f>
        <v>0.33799999999999997</v>
      </c>
      <c r="L132" s="1">
        <f t="shared" ref="L132" si="131">K132+IF(L128&lt;($E128+$O120), $G121,0)+IF(AND(L128&gt;$E128+$O120,L128&lt;$F124),$G122,0)+IF(AND(L128&gt;$E128+$O120,L128&gt;$F124-1),$G123,0)</f>
        <v>0.33499999999999996</v>
      </c>
      <c r="M132" s="1">
        <f t="shared" ref="M132" si="132">L132+IF(M128&lt;($E128+$O120), $G121,0)+IF(AND(M128&gt;$E128+$O120,M128&lt;$F124),$G122,0)+IF(AND(M128&gt;$E128+$O120,M128&gt;$F124-1),$G123,0)</f>
        <v>0.33199999999999996</v>
      </c>
      <c r="N132" s="1">
        <f t="shared" ref="N132" si="133">M132+IF(N128&lt;($E128+$O120), $G121,0)+IF(AND(N128&gt;$E128+$O120,N128&lt;$F124),$G122,0)+IF(AND(N128&gt;$E128+$O120,N128&gt;$F124-1),$G123,0)</f>
        <v>0.32899999999999996</v>
      </c>
    </row>
    <row r="133" spans="2:15" x14ac:dyDescent="0.3">
      <c r="B133" t="s">
        <v>2</v>
      </c>
      <c r="D133" s="27">
        <f t="shared" ref="D133:N133" si="134">D132*(D131+D130)</f>
        <v>5550.5720000000001</v>
      </c>
      <c r="E133" s="27">
        <f t="shared" si="134"/>
        <v>5927.1617999999999</v>
      </c>
      <c r="F133" s="27">
        <f t="shared" si="134"/>
        <v>6296.4871119999989</v>
      </c>
      <c r="G133" s="27">
        <f t="shared" si="134"/>
        <v>6842.1099119999999</v>
      </c>
      <c r="H133" s="27">
        <f t="shared" si="134"/>
        <v>7387.732712</v>
      </c>
      <c r="I133" s="27">
        <f t="shared" si="134"/>
        <v>7756.5863040000004</v>
      </c>
      <c r="J133" s="27">
        <f t="shared" si="134"/>
        <v>8101.8067240000009</v>
      </c>
      <c r="K133" s="27">
        <f t="shared" si="134"/>
        <v>8439.7626560000008</v>
      </c>
      <c r="L133" s="27">
        <f t="shared" si="134"/>
        <v>8770.4541000000027</v>
      </c>
      <c r="M133" s="27">
        <f t="shared" si="134"/>
        <v>9093.8810560000038</v>
      </c>
      <c r="N133" s="27">
        <f t="shared" si="134"/>
        <v>9410.0435240000043</v>
      </c>
      <c r="O133" s="27"/>
    </row>
    <row r="134" spans="2:15" x14ac:dyDescent="0.3">
      <c r="B134" t="s">
        <v>3</v>
      </c>
      <c r="D134" s="27">
        <f t="shared" ref="D134:N134" si="135">(D131+D130)*$H$21</f>
        <v>4575.6839999999993</v>
      </c>
      <c r="E134" s="27">
        <f t="shared" si="135"/>
        <v>4928.0116679999992</v>
      </c>
      <c r="F134" s="27">
        <f t="shared" si="135"/>
        <v>5280.3393359999991</v>
      </c>
      <c r="G134" s="27">
        <f t="shared" si="135"/>
        <v>5737.9077360000001</v>
      </c>
      <c r="H134" s="27">
        <f t="shared" si="135"/>
        <v>6195.4761360000002</v>
      </c>
      <c r="I134" s="27">
        <f t="shared" si="135"/>
        <v>6561.5308560000003</v>
      </c>
      <c r="J134" s="27">
        <f t="shared" si="135"/>
        <v>6913.8585240000002</v>
      </c>
      <c r="K134" s="27">
        <f t="shared" si="135"/>
        <v>7266.1861920000019</v>
      </c>
      <c r="L134" s="27">
        <f t="shared" si="135"/>
        <v>7618.5138600000028</v>
      </c>
      <c r="M134" s="27">
        <f t="shared" si="135"/>
        <v>7970.8415280000036</v>
      </c>
      <c r="N134" s="27">
        <f t="shared" si="135"/>
        <v>8323.1691960000044</v>
      </c>
      <c r="O134" s="27"/>
    </row>
    <row r="135" spans="2:15" x14ac:dyDescent="0.3">
      <c r="B135" t="s">
        <v>4</v>
      </c>
      <c r="D135" s="27">
        <f>D133-D134</f>
        <v>974.88800000000083</v>
      </c>
      <c r="E135" s="27">
        <f>E133-E134</f>
        <v>999.15013200000067</v>
      </c>
      <c r="F135" s="27">
        <f t="shared" ref="F135:N135" si="136">F133-F134</f>
        <v>1016.1477759999998</v>
      </c>
      <c r="G135" s="27">
        <f t="shared" si="136"/>
        <v>1104.2021759999998</v>
      </c>
      <c r="H135" s="27">
        <f t="shared" si="136"/>
        <v>1192.2565759999998</v>
      </c>
      <c r="I135" s="27">
        <f t="shared" si="136"/>
        <v>1195.0554480000001</v>
      </c>
      <c r="J135" s="27">
        <f t="shared" si="136"/>
        <v>1187.9482000000007</v>
      </c>
      <c r="K135" s="27">
        <f t="shared" si="136"/>
        <v>1173.5764639999989</v>
      </c>
      <c r="L135" s="27">
        <f t="shared" si="136"/>
        <v>1151.9402399999999</v>
      </c>
      <c r="M135" s="27">
        <f t="shared" si="136"/>
        <v>1123.0395280000002</v>
      </c>
      <c r="N135" s="27">
        <f t="shared" si="136"/>
        <v>1086.8743279999999</v>
      </c>
      <c r="O135" s="27"/>
    </row>
    <row r="136" spans="2:15" x14ac:dyDescent="0.3">
      <c r="B136" t="s">
        <v>8</v>
      </c>
      <c r="D136" s="27">
        <f t="shared" ref="D136:N136" si="137">D135*$O124</f>
        <v>376.30676800000032</v>
      </c>
      <c r="E136" s="27">
        <f t="shared" si="137"/>
        <v>385.67195095200026</v>
      </c>
      <c r="F136" s="27">
        <f t="shared" si="137"/>
        <v>392.23304153599992</v>
      </c>
      <c r="G136" s="27">
        <f t="shared" si="137"/>
        <v>426.22203993599993</v>
      </c>
      <c r="H136" s="27">
        <f t="shared" si="137"/>
        <v>460.21103833599994</v>
      </c>
      <c r="I136" s="27">
        <f t="shared" si="137"/>
        <v>461.29140292800002</v>
      </c>
      <c r="J136" s="27">
        <f t="shared" si="137"/>
        <v>458.54800520000032</v>
      </c>
      <c r="K136" s="27">
        <f t="shared" si="137"/>
        <v>453.00051510399959</v>
      </c>
      <c r="L136" s="27">
        <f t="shared" si="137"/>
        <v>444.64893264</v>
      </c>
      <c r="M136" s="27">
        <f t="shared" si="137"/>
        <v>433.49325780800012</v>
      </c>
      <c r="N136" s="27">
        <f t="shared" si="137"/>
        <v>419.53349060799997</v>
      </c>
      <c r="O136" s="27"/>
    </row>
    <row r="137" spans="2:15" x14ac:dyDescent="0.3">
      <c r="B137" t="s">
        <v>9</v>
      </c>
      <c r="D137" s="27">
        <f>D135-D136</f>
        <v>598.58123200000045</v>
      </c>
      <c r="E137" s="27">
        <f t="shared" ref="E137:N137" si="138">E135-E136</f>
        <v>613.47818104800035</v>
      </c>
      <c r="F137" s="27">
        <f t="shared" si="138"/>
        <v>623.91473446399982</v>
      </c>
      <c r="G137" s="27">
        <f t="shared" si="138"/>
        <v>677.98013606399991</v>
      </c>
      <c r="H137" s="27">
        <f t="shared" si="138"/>
        <v>732.04553766399977</v>
      </c>
      <c r="I137" s="27">
        <f t="shared" si="138"/>
        <v>733.76404507200004</v>
      </c>
      <c r="J137" s="27">
        <f t="shared" si="138"/>
        <v>729.40019480000046</v>
      </c>
      <c r="K137" s="27">
        <f t="shared" si="138"/>
        <v>720.57594889599932</v>
      </c>
      <c r="L137" s="27">
        <f t="shared" si="138"/>
        <v>707.29130735999991</v>
      </c>
      <c r="M137" s="27">
        <f t="shared" si="138"/>
        <v>689.54627019200007</v>
      </c>
      <c r="N137" s="27">
        <f t="shared" si="138"/>
        <v>667.34083739199991</v>
      </c>
      <c r="O137" s="27"/>
    </row>
    <row r="138" spans="2:15" x14ac:dyDescent="0.3">
      <c r="B138" t="s">
        <v>10</v>
      </c>
      <c r="D138" s="27">
        <f t="shared" ref="D138:N138" si="139">D137/(1+$O123)^(D128-2018)</f>
        <v>598.58123200000045</v>
      </c>
      <c r="E138" s="27">
        <f t="shared" si="139"/>
        <v>552.68304598918951</v>
      </c>
      <c r="F138" s="27">
        <f t="shared" si="139"/>
        <v>506.38319492248985</v>
      </c>
      <c r="G138" s="27">
        <f t="shared" si="139"/>
        <v>495.73323218324225</v>
      </c>
      <c r="H138" s="27">
        <f t="shared" si="139"/>
        <v>482.22107014390696</v>
      </c>
      <c r="I138" s="27">
        <f t="shared" si="139"/>
        <v>435.45324702959851</v>
      </c>
      <c r="J138" s="27">
        <f t="shared" si="139"/>
        <v>389.96712999119967</v>
      </c>
      <c r="K138" s="27">
        <f t="shared" si="139"/>
        <v>347.07146647137961</v>
      </c>
      <c r="L138" s="27">
        <f t="shared" si="139"/>
        <v>306.91243886477127</v>
      </c>
      <c r="M138" s="27">
        <f t="shared" si="139"/>
        <v>269.56071807187652</v>
      </c>
      <c r="N138" s="27">
        <f t="shared" si="139"/>
        <v>235.02708498181778</v>
      </c>
      <c r="O138" s="27">
        <f>N138/(O123-O126)</f>
        <v>3357.5297854545393</v>
      </c>
    </row>
    <row r="140" spans="2:15" x14ac:dyDescent="0.3">
      <c r="B140" t="s">
        <v>20</v>
      </c>
      <c r="D140" s="10">
        <f>SUM(E138:O138)</f>
        <v>7378.5424141040112</v>
      </c>
      <c r="E140" s="13" t="s">
        <v>22</v>
      </c>
    </row>
    <row r="141" spans="2:15" x14ac:dyDescent="0.3">
      <c r="B141" t="s">
        <v>14</v>
      </c>
      <c r="D141" s="27">
        <f>IF(OR(F119&gt;0, F121&lt;&gt;F122),O119,0)</f>
        <v>13700</v>
      </c>
      <c r="E141" s="13"/>
    </row>
    <row r="142" spans="2:15" x14ac:dyDescent="0.3">
      <c r="B142" t="s">
        <v>21</v>
      </c>
      <c r="D142" s="27">
        <f>D140-D141</f>
        <v>-6321.4575858959888</v>
      </c>
      <c r="E142" s="13"/>
    </row>
    <row r="143" spans="2:15" x14ac:dyDescent="0.3">
      <c r="D143" s="10"/>
      <c r="E143" s="13"/>
    </row>
    <row r="145" spans="2:15" ht="15" thickBot="1" x14ac:dyDescent="0.35">
      <c r="B145" s="6" t="s">
        <v>73</v>
      </c>
      <c r="C145" s="6"/>
      <c r="D145" s="6"/>
      <c r="E145" s="6"/>
      <c r="F145" s="7"/>
      <c r="G145" s="7"/>
      <c r="H145" s="7"/>
      <c r="I145" s="7"/>
      <c r="J145" s="7"/>
      <c r="K145" s="7"/>
      <c r="L145" s="7"/>
      <c r="M145" s="7"/>
      <c r="N145" s="7"/>
      <c r="O145" s="7"/>
    </row>
    <row r="147" spans="2:15" x14ac:dyDescent="0.3">
      <c r="B147" s="2" t="s">
        <v>19</v>
      </c>
      <c r="I147" s="2"/>
      <c r="K147" s="2" t="s">
        <v>16</v>
      </c>
    </row>
    <row r="148" spans="2:15" x14ac:dyDescent="0.3">
      <c r="B148" s="9" t="s">
        <v>62</v>
      </c>
      <c r="F148" s="19">
        <v>0</v>
      </c>
      <c r="K148" t="s">
        <v>64</v>
      </c>
      <c r="O148" s="29">
        <v>13700</v>
      </c>
    </row>
    <row r="149" spans="2:15" x14ac:dyDescent="0.3">
      <c r="B149" t="s">
        <v>63</v>
      </c>
      <c r="F149" s="28" t="s">
        <v>61</v>
      </c>
      <c r="G149" s="28" t="s">
        <v>65</v>
      </c>
      <c r="K149" t="s">
        <v>66</v>
      </c>
      <c r="O149" s="14">
        <v>2</v>
      </c>
    </row>
    <row r="150" spans="2:15" x14ac:dyDescent="0.3">
      <c r="B150" t="s">
        <v>50</v>
      </c>
      <c r="F150" s="19">
        <v>7.6999999999999999E-2</v>
      </c>
      <c r="G150" s="19">
        <v>-3.0000000000000001E-3</v>
      </c>
      <c r="K150" t="s">
        <v>57</v>
      </c>
      <c r="O150" s="15">
        <v>1</v>
      </c>
    </row>
    <row r="151" spans="2:15" x14ac:dyDescent="0.3">
      <c r="B151" t="s">
        <v>51</v>
      </c>
      <c r="F151" s="19">
        <v>7.6999999999999999E-2</v>
      </c>
      <c r="G151" s="19">
        <v>-3.0000000000000001E-3</v>
      </c>
      <c r="K151" t="s">
        <v>56</v>
      </c>
      <c r="O151" s="15">
        <f>$L$23</f>
        <v>0.35299999999999998</v>
      </c>
    </row>
    <row r="152" spans="2:15" x14ac:dyDescent="0.3">
      <c r="B152" t="s">
        <v>52</v>
      </c>
      <c r="F152" s="19">
        <v>7.6999999999999999E-2</v>
      </c>
      <c r="G152" s="19">
        <v>-5.0000000000000001E-3</v>
      </c>
      <c r="K152" t="s">
        <v>6</v>
      </c>
      <c r="O152" s="15">
        <f>$H$23</f>
        <v>0.11</v>
      </c>
    </row>
    <row r="153" spans="2:15" x14ac:dyDescent="0.3">
      <c r="B153" t="s">
        <v>59</v>
      </c>
      <c r="F153" s="20">
        <v>2021</v>
      </c>
      <c r="K153" t="s">
        <v>7</v>
      </c>
      <c r="O153" s="15">
        <f>H$22</f>
        <v>0.38600000000000001</v>
      </c>
    </row>
    <row r="154" spans="2:15" x14ac:dyDescent="0.3">
      <c r="B154" t="s">
        <v>58</v>
      </c>
      <c r="F154" s="19">
        <v>0.02</v>
      </c>
      <c r="K154" t="s">
        <v>75</v>
      </c>
      <c r="O154" s="15">
        <v>0.11</v>
      </c>
    </row>
    <row r="155" spans="2:15" x14ac:dyDescent="0.3">
      <c r="K155" t="s">
        <v>12</v>
      </c>
      <c r="O155" s="15">
        <f>$L$24</f>
        <v>0.04</v>
      </c>
    </row>
    <row r="157" spans="2:15" x14ac:dyDescent="0.3">
      <c r="D157">
        <v>2018</v>
      </c>
      <c r="E157">
        <f t="shared" ref="E157" si="140">D157+1</f>
        <v>2019</v>
      </c>
      <c r="F157">
        <f t="shared" ref="F157" si="141">E157+1</f>
        <v>2020</v>
      </c>
      <c r="G157">
        <f t="shared" ref="G157" si="142">F157+1</f>
        <v>2021</v>
      </c>
      <c r="H157">
        <f t="shared" ref="H157" si="143">G157+1</f>
        <v>2022</v>
      </c>
      <c r="I157">
        <f t="shared" ref="I157" si="144">H157+1</f>
        <v>2023</v>
      </c>
      <c r="J157">
        <f t="shared" ref="J157" si="145">I157+1</f>
        <v>2024</v>
      </c>
      <c r="K157">
        <f t="shared" ref="K157" si="146">J157+1</f>
        <v>2025</v>
      </c>
      <c r="L157">
        <f t="shared" ref="L157" si="147">K157+1</f>
        <v>2026</v>
      </c>
      <c r="M157">
        <f t="shared" ref="M157" si="148">L157+1</f>
        <v>2027</v>
      </c>
      <c r="N157">
        <f t="shared" ref="N157" si="149">M157+1</f>
        <v>2028</v>
      </c>
      <c r="O157" t="s">
        <v>11</v>
      </c>
    </row>
    <row r="158" spans="2:15" x14ac:dyDescent="0.3">
      <c r="B158" t="s">
        <v>53</v>
      </c>
      <c r="D158" s="1">
        <f>O150</f>
        <v>1</v>
      </c>
      <c r="E158" s="1">
        <f>D158-IF(E157&lt;($E157+$O149), -$F150,-$F151)-IF(E157=$F153,$F154,0)+IF(E157=$E157+$O149,$F148,0)</f>
        <v>1.077</v>
      </c>
      <c r="F158" s="1">
        <f>E158-IF(F157&lt;($E157+$O149), -$F150,-$F151)-IF(F157=$F153,$F154,0)+IF(F157=$E157+$O149,$F148,0)</f>
        <v>1.1539999999999999</v>
      </c>
      <c r="G158" s="1">
        <f>F158-IF(G157&lt;($E157+$O149), -$F150,-$F151)-IF(G157=$F153,$F154,0)+IF(G157=$E157+$O149,$F148,0)</f>
        <v>1.2109999999999999</v>
      </c>
      <c r="H158" s="1">
        <f t="shared" ref="H158" si="150">G158-IF(H157&lt;($E157+$O149), -$F150,-$F151)-IF(H157=$F153,$F154,0)+IF(H157=$E157+$O149,$F148,0)+IF(H157&gt;$F153,$F152-$F151,0)</f>
        <v>1.2879999999999998</v>
      </c>
      <c r="I158" s="1">
        <f t="shared" ref="I158" si="151">H158-IF(I157&lt;($E157+$O149), -$F150,-$F151)-IF(I157=$F153,$F154,0)+IF(I157=$E157+$O149,$F148,0)+IF(I157&gt;$F153,$F152-$F151,0)</f>
        <v>1.3649999999999998</v>
      </c>
      <c r="J158" s="1">
        <f t="shared" ref="J158" si="152">I158-IF(J157&lt;($E157+$O149), -$F150,-$F151)-IF(J157=$F153,$F154,0)+IF(J157=$E157+$O149,$F148,0)+IF(J157&gt;$F153,$F152-$F151,0)</f>
        <v>1.4419999999999997</v>
      </c>
      <c r="K158" s="1">
        <f t="shared" ref="K158" si="153">J158-IF(K157&lt;($E157+$O149), -$F150,-$F151)-IF(K157=$F153,$F154,0)+IF(K157=$E157+$O149,$F148,0)+IF(K157&gt;$F153,$F152-$F151,0)</f>
        <v>1.5189999999999997</v>
      </c>
      <c r="L158" s="1">
        <f t="shared" ref="L158" si="154">K158-IF(L157&lt;($E157+$O149), -$F150,-$F151)-IF(L157=$F153,$F154,0)+IF(L157=$E157+$O149,$F148,0)+IF(L157&gt;$F153,$F152-$F151,0)</f>
        <v>1.5959999999999996</v>
      </c>
      <c r="M158" s="1">
        <f t="shared" ref="M158" si="155">L158-IF(M157&lt;($E157+$O149), -$F150,-$F151)-IF(M157=$F153,$F154,0)+IF(M157=$E157+$O149,$F148,0)+IF(M157&gt;$F153,$F152-$F151,0)</f>
        <v>1.6729999999999996</v>
      </c>
      <c r="N158" s="1">
        <f t="shared" ref="N158" si="156">M158-IF(N157&lt;($E157+$O149), -$F150,-$F151)-IF(N157=$F153,$F154,0)+IF(N157=$E157+$O149,$F148,0)+IF(N157&gt;$F153,$F152-$F151,0)</f>
        <v>1.7499999999999996</v>
      </c>
    </row>
    <row r="159" spans="2:15" x14ac:dyDescent="0.3">
      <c r="B159" t="s">
        <v>13</v>
      </c>
      <c r="D159" s="5">
        <f>IF($O$22="Y",$J$25,0)</f>
        <v>0</v>
      </c>
      <c r="E159" s="5">
        <f t="shared" ref="E159" si="157">(1+(E160-D160)/D160)*D159</f>
        <v>0</v>
      </c>
      <c r="F159" s="5">
        <f t="shared" ref="F159" si="158">(1+(F160-E160)/E160)*E159</f>
        <v>0</v>
      </c>
      <c r="G159" s="5">
        <f t="shared" ref="G159" si="159">(1+(G160-F160)/F160)*F159</f>
        <v>0</v>
      </c>
      <c r="H159" s="5">
        <f t="shared" ref="H159" si="160">(1+(H160-G160)/G160)*G159</f>
        <v>0</v>
      </c>
      <c r="I159" s="5">
        <f t="shared" ref="I159" si="161">(1+(I160-H160)/H160)*H159</f>
        <v>0</v>
      </c>
      <c r="J159" s="5">
        <f t="shared" ref="J159" si="162">(1+(J160-I160)/I160)*I159</f>
        <v>0</v>
      </c>
      <c r="K159" s="5">
        <f t="shared" ref="K159" si="163">(1+(K160-J160)/J160)*J159</f>
        <v>0</v>
      </c>
      <c r="L159" s="5">
        <f t="shared" ref="L159" si="164">(1+(L160-K160)/K160)*K159</f>
        <v>0</v>
      </c>
      <c r="M159" s="5">
        <f t="shared" ref="M159" si="165">(1+(M160-L160)/L160)*L159</f>
        <v>0</v>
      </c>
      <c r="N159" s="5">
        <f t="shared" ref="N159" si="166">(1+(N160-M160)/M160)*M159</f>
        <v>0</v>
      </c>
    </row>
    <row r="160" spans="2:15" x14ac:dyDescent="0.3">
      <c r="B160" t="s">
        <v>0</v>
      </c>
      <c r="D160" s="10">
        <f>$O148*$O154</f>
        <v>1507</v>
      </c>
      <c r="E160" s="10">
        <f t="shared" ref="E160:N160" si="167">$O148*$O154</f>
        <v>1507</v>
      </c>
      <c r="F160" s="10">
        <f t="shared" si="167"/>
        <v>1507</v>
      </c>
      <c r="G160" s="10">
        <f t="shared" si="167"/>
        <v>1507</v>
      </c>
      <c r="H160" s="10">
        <f t="shared" si="167"/>
        <v>1507</v>
      </c>
      <c r="I160" s="10">
        <f t="shared" si="167"/>
        <v>1507</v>
      </c>
      <c r="J160" s="10">
        <f t="shared" si="167"/>
        <v>1507</v>
      </c>
      <c r="K160" s="10">
        <f t="shared" si="167"/>
        <v>1507</v>
      </c>
      <c r="L160" s="10">
        <f t="shared" si="167"/>
        <v>1507</v>
      </c>
      <c r="M160" s="10">
        <f t="shared" si="167"/>
        <v>1507</v>
      </c>
      <c r="N160" s="10">
        <f t="shared" si="167"/>
        <v>1507</v>
      </c>
    </row>
    <row r="161" spans="2:15" x14ac:dyDescent="0.3">
      <c r="B161" t="s">
        <v>1</v>
      </c>
      <c r="D161" s="1">
        <f>O151</f>
        <v>0.35299999999999998</v>
      </c>
      <c r="E161" s="1">
        <f>D161+IF(E157&lt;($E157+$O149), $G150,0)+IF(AND(E157&gt;$E157+$O149,E157&lt;$F153),$G151,0)+IF(AND(E157&gt;$E157+$O149,E157&gt;$F153-1),$G152,0)</f>
        <v>0.35</v>
      </c>
      <c r="F161" s="1">
        <f t="shared" ref="F161" si="168">E161+IF(F157&lt;($E157+$O149), $G150,0)+IF(AND(F157&gt;$E157+$O149,F157&lt;$F153),$G151,0)+IF(AND(F157&gt;$E157+$O149,F157&gt;$F153-1),$G152,0)</f>
        <v>0.34699999999999998</v>
      </c>
      <c r="G161" s="1">
        <f t="shared" ref="G161" si="169">F161+IF(G157&lt;($E157+$O149), $G150,0)+IF(AND(G157&gt;$E157+$O149,G157&lt;$F153),$G151,0)+IF(AND(G157&gt;$E157+$O149,G157&gt;$F153-1),$G152,0)</f>
        <v>0.34699999999999998</v>
      </c>
      <c r="H161" s="1">
        <f t="shared" ref="H161" si="170">G161+IF(H157&lt;($E157+$O149), $G150,0)+IF(AND(H157&gt;$E157+$O149,H157&lt;$F153),$G151,0)+IF(AND(H157&gt;$E157+$O149,H157&gt;$F153-1),$G152,0)</f>
        <v>0.34199999999999997</v>
      </c>
      <c r="I161" s="1">
        <f t="shared" ref="I161" si="171">H161+IF(I157&lt;($E157+$O149), $G150,0)+IF(AND(I157&gt;$E157+$O149,I157&lt;$F153),$G151,0)+IF(AND(I157&gt;$E157+$O149,I157&gt;$F153-1),$G152,0)</f>
        <v>0.33699999999999997</v>
      </c>
      <c r="J161" s="1">
        <f t="shared" ref="J161" si="172">I161+IF(J157&lt;($E157+$O149), $G150,0)+IF(AND(J157&gt;$E157+$O149,J157&lt;$F153),$G151,0)+IF(AND(J157&gt;$E157+$O149,J157&gt;$F153-1),$G152,0)</f>
        <v>0.33199999999999996</v>
      </c>
      <c r="K161" s="1">
        <f t="shared" ref="K161" si="173">J161+IF(K157&lt;($E157+$O149), $G150,0)+IF(AND(K157&gt;$E157+$O149,K157&lt;$F153),$G151,0)+IF(AND(K157&gt;$E157+$O149,K157&gt;$F153-1),$G152,0)</f>
        <v>0.32699999999999996</v>
      </c>
      <c r="L161" s="1">
        <f t="shared" ref="L161" si="174">K161+IF(L157&lt;($E157+$O149), $G150,0)+IF(AND(L157&gt;$E157+$O149,L157&lt;$F153),$G151,0)+IF(AND(L157&gt;$E157+$O149,L157&gt;$F153-1),$G152,0)</f>
        <v>0.32199999999999995</v>
      </c>
      <c r="M161" s="1">
        <f t="shared" ref="M161" si="175">L161+IF(M157&lt;($E157+$O149), $G150,0)+IF(AND(M157&gt;$E157+$O149,M157&lt;$F153),$G151,0)+IF(AND(M157&gt;$E157+$O149,M157&gt;$F153-1),$G152,0)</f>
        <v>0.31699999999999995</v>
      </c>
      <c r="N161" s="1">
        <f t="shared" ref="N161" si="176">M161+IF(N157&lt;($E157+$O149), $G150,0)+IF(AND(N157&gt;$E157+$O149,N157&lt;$F153),$G151,0)+IF(AND(N157&gt;$E157+$O149,N157&gt;$F153-1),$G152,0)</f>
        <v>0.31199999999999994</v>
      </c>
    </row>
    <row r="162" spans="2:15" x14ac:dyDescent="0.3">
      <c r="B162" t="s">
        <v>2</v>
      </c>
      <c r="D162" s="27">
        <f>D160</f>
        <v>1507</v>
      </c>
      <c r="E162" s="27">
        <f t="shared" ref="E162:N162" si="177">E160</f>
        <v>1507</v>
      </c>
      <c r="F162" s="27">
        <f t="shared" si="177"/>
        <v>1507</v>
      </c>
      <c r="G162" s="27">
        <f t="shared" si="177"/>
        <v>1507</v>
      </c>
      <c r="H162" s="27">
        <f t="shared" si="177"/>
        <v>1507</v>
      </c>
      <c r="I162" s="27">
        <f t="shared" si="177"/>
        <v>1507</v>
      </c>
      <c r="J162" s="27">
        <f t="shared" si="177"/>
        <v>1507</v>
      </c>
      <c r="K162" s="27">
        <f t="shared" si="177"/>
        <v>1507</v>
      </c>
      <c r="L162" s="27">
        <f t="shared" si="177"/>
        <v>1507</v>
      </c>
      <c r="M162" s="27">
        <f t="shared" si="177"/>
        <v>1507</v>
      </c>
      <c r="N162" s="27">
        <f t="shared" si="177"/>
        <v>1507</v>
      </c>
      <c r="O162" s="27"/>
    </row>
    <row r="163" spans="2:15" x14ac:dyDescent="0.3">
      <c r="B163" t="s">
        <v>3</v>
      </c>
      <c r="D163" s="27">
        <v>0</v>
      </c>
      <c r="E163" s="27">
        <v>0</v>
      </c>
      <c r="F163" s="27">
        <v>0</v>
      </c>
      <c r="G163" s="27">
        <v>0</v>
      </c>
      <c r="H163" s="27">
        <v>0</v>
      </c>
      <c r="I163" s="27">
        <v>0</v>
      </c>
      <c r="J163" s="27">
        <v>0</v>
      </c>
      <c r="K163" s="27">
        <v>0</v>
      </c>
      <c r="L163" s="27">
        <v>0</v>
      </c>
      <c r="M163" s="27">
        <v>0</v>
      </c>
      <c r="N163" s="27">
        <v>0</v>
      </c>
      <c r="O163" s="27"/>
    </row>
    <row r="164" spans="2:15" x14ac:dyDescent="0.3">
      <c r="B164" t="s">
        <v>4</v>
      </c>
      <c r="D164" s="27">
        <f>D162-D163</f>
        <v>1507</v>
      </c>
      <c r="E164" s="27">
        <f>E162-E163</f>
        <v>1507</v>
      </c>
      <c r="F164" s="27">
        <f t="shared" ref="F164:N164" si="178">F162-F163</f>
        <v>1507</v>
      </c>
      <c r="G164" s="27">
        <f t="shared" si="178"/>
        <v>1507</v>
      </c>
      <c r="H164" s="27">
        <f t="shared" si="178"/>
        <v>1507</v>
      </c>
      <c r="I164" s="27">
        <f t="shared" si="178"/>
        <v>1507</v>
      </c>
      <c r="J164" s="27">
        <f t="shared" si="178"/>
        <v>1507</v>
      </c>
      <c r="K164" s="27">
        <f t="shared" si="178"/>
        <v>1507</v>
      </c>
      <c r="L164" s="27">
        <f t="shared" si="178"/>
        <v>1507</v>
      </c>
      <c r="M164" s="27">
        <f t="shared" si="178"/>
        <v>1507</v>
      </c>
      <c r="N164" s="27">
        <f t="shared" si="178"/>
        <v>1507</v>
      </c>
      <c r="O164" s="27"/>
    </row>
    <row r="165" spans="2:15" x14ac:dyDescent="0.3">
      <c r="B165" t="s">
        <v>8</v>
      </c>
      <c r="D165" s="27">
        <f t="shared" ref="D165:N165" si="179">D164*$O153</f>
        <v>581.702</v>
      </c>
      <c r="E165" s="27">
        <f t="shared" si="179"/>
        <v>581.702</v>
      </c>
      <c r="F165" s="27">
        <f t="shared" si="179"/>
        <v>581.702</v>
      </c>
      <c r="G165" s="27">
        <f t="shared" si="179"/>
        <v>581.702</v>
      </c>
      <c r="H165" s="27">
        <f t="shared" si="179"/>
        <v>581.702</v>
      </c>
      <c r="I165" s="27">
        <f t="shared" si="179"/>
        <v>581.702</v>
      </c>
      <c r="J165" s="27">
        <f t="shared" si="179"/>
        <v>581.702</v>
      </c>
      <c r="K165" s="27">
        <f t="shared" si="179"/>
        <v>581.702</v>
      </c>
      <c r="L165" s="27">
        <f t="shared" si="179"/>
        <v>581.702</v>
      </c>
      <c r="M165" s="27">
        <f t="shared" si="179"/>
        <v>581.702</v>
      </c>
      <c r="N165" s="27">
        <f t="shared" si="179"/>
        <v>581.702</v>
      </c>
      <c r="O165" s="27"/>
    </row>
    <row r="166" spans="2:15" x14ac:dyDescent="0.3">
      <c r="B166" t="s">
        <v>9</v>
      </c>
      <c r="D166" s="27">
        <f>D164-D165</f>
        <v>925.298</v>
      </c>
      <c r="E166" s="27">
        <f t="shared" ref="E166:N166" si="180">E164-E165</f>
        <v>925.298</v>
      </c>
      <c r="F166" s="27">
        <f t="shared" si="180"/>
        <v>925.298</v>
      </c>
      <c r="G166" s="27">
        <f t="shared" si="180"/>
        <v>925.298</v>
      </c>
      <c r="H166" s="27">
        <f t="shared" si="180"/>
        <v>925.298</v>
      </c>
      <c r="I166" s="27">
        <f t="shared" si="180"/>
        <v>925.298</v>
      </c>
      <c r="J166" s="27">
        <f t="shared" si="180"/>
        <v>925.298</v>
      </c>
      <c r="K166" s="27">
        <f t="shared" si="180"/>
        <v>925.298</v>
      </c>
      <c r="L166" s="27">
        <f t="shared" si="180"/>
        <v>925.298</v>
      </c>
      <c r="M166" s="27">
        <f t="shared" si="180"/>
        <v>925.298</v>
      </c>
      <c r="N166" s="27">
        <f t="shared" si="180"/>
        <v>925.298</v>
      </c>
      <c r="O166" s="27"/>
    </row>
    <row r="167" spans="2:15" x14ac:dyDescent="0.3">
      <c r="B167" t="s">
        <v>10</v>
      </c>
      <c r="D167" s="27">
        <f t="shared" ref="D167:N167" si="181">D166/(1+$O152)^(D157-2018)</f>
        <v>925.298</v>
      </c>
      <c r="E167" s="27">
        <f t="shared" si="181"/>
        <v>833.60180180180168</v>
      </c>
      <c r="F167" s="27">
        <f t="shared" si="181"/>
        <v>750.99261423585733</v>
      </c>
      <c r="G167" s="27">
        <f t="shared" si="181"/>
        <v>676.56992273500657</v>
      </c>
      <c r="H167" s="27">
        <f t="shared" si="181"/>
        <v>609.52245291442034</v>
      </c>
      <c r="I167" s="27">
        <f t="shared" si="181"/>
        <v>549.11932694992822</v>
      </c>
      <c r="J167" s="27">
        <f t="shared" si="181"/>
        <v>494.70209635128663</v>
      </c>
      <c r="K167" s="27">
        <f t="shared" si="181"/>
        <v>445.67756428043839</v>
      </c>
      <c r="L167" s="27">
        <f t="shared" si="181"/>
        <v>401.51131917156602</v>
      </c>
      <c r="M167" s="27">
        <f t="shared" si="181"/>
        <v>361.72190916357295</v>
      </c>
      <c r="N167" s="27">
        <f t="shared" si="181"/>
        <v>325.87559384105668</v>
      </c>
      <c r="O167" s="27">
        <f>N167/(O152-O155)</f>
        <v>4655.3656263008097</v>
      </c>
    </row>
    <row r="169" spans="2:15" x14ac:dyDescent="0.3">
      <c r="B169" t="s">
        <v>20</v>
      </c>
      <c r="D169" s="10">
        <f>SUM(E167:O167)</f>
        <v>10104.660227745744</v>
      </c>
      <c r="E169" s="13" t="s">
        <v>22</v>
      </c>
    </row>
    <row r="170" spans="2:15" x14ac:dyDescent="0.3">
      <c r="B170" t="s">
        <v>14</v>
      </c>
      <c r="D170" s="27">
        <f>IF(OR(F148&gt;0, F150&lt;&gt;F151),O148,0)</f>
        <v>0</v>
      </c>
      <c r="E170" s="13"/>
    </row>
    <row r="171" spans="2:15" x14ac:dyDescent="0.3">
      <c r="B171" t="s">
        <v>21</v>
      </c>
      <c r="D171" s="27">
        <f>D169-D170</f>
        <v>10104.660227745744</v>
      </c>
      <c r="E171" s="13"/>
    </row>
    <row r="174" spans="2:15" ht="15" thickBot="1" x14ac:dyDescent="0.35">
      <c r="B174" s="6" t="s">
        <v>74</v>
      </c>
      <c r="C174" s="6"/>
      <c r="D174" s="6"/>
      <c r="E174" s="6"/>
      <c r="F174" s="7"/>
      <c r="G174" s="7"/>
      <c r="H174" s="7"/>
      <c r="I174" s="7"/>
      <c r="J174" s="7"/>
      <c r="K174" s="7"/>
      <c r="L174" s="7"/>
      <c r="M174" s="7"/>
      <c r="N174" s="7"/>
      <c r="O174" s="7"/>
    </row>
    <row r="176" spans="2:15" x14ac:dyDescent="0.3">
      <c r="B176" s="2" t="s">
        <v>19</v>
      </c>
      <c r="I176" s="2"/>
      <c r="K176" s="2" t="s">
        <v>16</v>
      </c>
    </row>
    <row r="177" spans="2:15" x14ac:dyDescent="0.3">
      <c r="B177" s="9" t="s">
        <v>62</v>
      </c>
      <c r="F177" s="19">
        <v>0</v>
      </c>
      <c r="K177" t="s">
        <v>64</v>
      </c>
      <c r="O177" s="29">
        <v>13700</v>
      </c>
    </row>
    <row r="178" spans="2:15" x14ac:dyDescent="0.3">
      <c r="B178" t="s">
        <v>63</v>
      </c>
      <c r="F178" s="28" t="s">
        <v>61</v>
      </c>
      <c r="G178" s="28" t="s">
        <v>65</v>
      </c>
      <c r="K178" t="s">
        <v>66</v>
      </c>
      <c r="O178" s="14">
        <v>2</v>
      </c>
    </row>
    <row r="179" spans="2:15" x14ac:dyDescent="0.3">
      <c r="B179" t="s">
        <v>50</v>
      </c>
      <c r="F179" s="19">
        <v>7.6999999999999999E-2</v>
      </c>
      <c r="G179" s="19">
        <v>-3.0000000000000001E-3</v>
      </c>
      <c r="K179" t="s">
        <v>57</v>
      </c>
      <c r="O179" s="15">
        <v>1</v>
      </c>
    </row>
    <row r="180" spans="2:15" x14ac:dyDescent="0.3">
      <c r="B180" t="s">
        <v>51</v>
      </c>
      <c r="F180" s="19">
        <v>7.6999999999999999E-2</v>
      </c>
      <c r="G180" s="19">
        <v>-3.0000000000000001E-3</v>
      </c>
      <c r="K180" t="s">
        <v>56</v>
      </c>
      <c r="O180" s="15">
        <f>$L$23</f>
        <v>0.35299999999999998</v>
      </c>
    </row>
    <row r="181" spans="2:15" x14ac:dyDescent="0.3">
      <c r="B181" t="s">
        <v>52</v>
      </c>
      <c r="F181" s="19">
        <v>7.6999999999999999E-2</v>
      </c>
      <c r="G181" s="19">
        <v>-5.0000000000000001E-3</v>
      </c>
      <c r="K181" t="s">
        <v>6</v>
      </c>
      <c r="O181" s="15">
        <v>0.11</v>
      </c>
    </row>
    <row r="182" spans="2:15" x14ac:dyDescent="0.3">
      <c r="B182" t="s">
        <v>59</v>
      </c>
      <c r="F182" s="20">
        <v>2021</v>
      </c>
      <c r="K182" t="s">
        <v>7</v>
      </c>
      <c r="O182" s="15">
        <f>H$22</f>
        <v>0.38600000000000001</v>
      </c>
    </row>
    <row r="183" spans="2:15" x14ac:dyDescent="0.3">
      <c r="B183" t="s">
        <v>58</v>
      </c>
      <c r="F183" s="19">
        <v>0.02</v>
      </c>
      <c r="K183" t="s">
        <v>75</v>
      </c>
      <c r="O183" s="15">
        <v>0.04</v>
      </c>
    </row>
    <row r="184" spans="2:15" x14ac:dyDescent="0.3">
      <c r="K184" t="s">
        <v>12</v>
      </c>
      <c r="O184" s="15">
        <f>$L$24</f>
        <v>0.04</v>
      </c>
    </row>
    <row r="186" spans="2:15" x14ac:dyDescent="0.3">
      <c r="D186">
        <v>2018</v>
      </c>
      <c r="E186">
        <f t="shared" ref="E186" si="182">D186+1</f>
        <v>2019</v>
      </c>
      <c r="F186">
        <f t="shared" ref="F186" si="183">E186+1</f>
        <v>2020</v>
      </c>
      <c r="G186">
        <f t="shared" ref="G186" si="184">F186+1</f>
        <v>2021</v>
      </c>
      <c r="H186">
        <f t="shared" ref="H186" si="185">G186+1</f>
        <v>2022</v>
      </c>
      <c r="I186">
        <f t="shared" ref="I186" si="186">H186+1</f>
        <v>2023</v>
      </c>
      <c r="J186">
        <f t="shared" ref="J186" si="187">I186+1</f>
        <v>2024</v>
      </c>
      <c r="K186">
        <f t="shared" ref="K186" si="188">J186+1</f>
        <v>2025</v>
      </c>
      <c r="L186">
        <f t="shared" ref="L186" si="189">K186+1</f>
        <v>2026</v>
      </c>
      <c r="M186">
        <f t="shared" ref="M186" si="190">L186+1</f>
        <v>2027</v>
      </c>
      <c r="N186">
        <f t="shared" ref="N186" si="191">M186+1</f>
        <v>2028</v>
      </c>
      <c r="O186" t="s">
        <v>11</v>
      </c>
    </row>
    <row r="187" spans="2:15" x14ac:dyDescent="0.3">
      <c r="B187" t="s">
        <v>53</v>
      </c>
      <c r="D187" s="1">
        <f>O179</f>
        <v>1</v>
      </c>
      <c r="E187" s="1">
        <f>D187-IF(E186&lt;($E186+$O178), -$F179,-$F180)-IF(E186=$F182,$F183,0)+IF(E186=$E186+$O178,$F177,0)</f>
        <v>1.077</v>
      </c>
      <c r="F187" s="1">
        <f>E187-IF(F186&lt;($E186+$O178), -$F179,-$F180)-IF(F186=$F182,$F183,0)+IF(F186=$E186+$O178,$F177,0)</f>
        <v>1.1539999999999999</v>
      </c>
      <c r="G187" s="1">
        <f>F187-IF(G186&lt;($E186+$O178), -$F179,-$F180)-IF(G186=$F182,$F183,0)+IF(G186=$E186+$O178,$F177,0)</f>
        <v>1.2109999999999999</v>
      </c>
      <c r="H187" s="1">
        <f t="shared" ref="H187" si="192">G187-IF(H186&lt;($E186+$O178), -$F179,-$F180)-IF(H186=$F182,$F183,0)+IF(H186=$E186+$O178,$F177,0)+IF(H186&gt;$F182,$F181-$F180,0)</f>
        <v>1.2879999999999998</v>
      </c>
      <c r="I187" s="1">
        <f t="shared" ref="I187" si="193">H187-IF(I186&lt;($E186+$O178), -$F179,-$F180)-IF(I186=$F182,$F183,0)+IF(I186=$E186+$O178,$F177,0)+IF(I186&gt;$F182,$F181-$F180,0)</f>
        <v>1.3649999999999998</v>
      </c>
      <c r="J187" s="1">
        <f t="shared" ref="J187" si="194">I187-IF(J186&lt;($E186+$O178), -$F179,-$F180)-IF(J186=$F182,$F183,0)+IF(J186=$E186+$O178,$F177,0)+IF(J186&gt;$F182,$F181-$F180,0)</f>
        <v>1.4419999999999997</v>
      </c>
      <c r="K187" s="1">
        <f t="shared" ref="K187" si="195">J187-IF(K186&lt;($E186+$O178), -$F179,-$F180)-IF(K186=$F182,$F183,0)+IF(K186=$E186+$O178,$F177,0)+IF(K186&gt;$F182,$F181-$F180,0)</f>
        <v>1.5189999999999997</v>
      </c>
      <c r="L187" s="1">
        <f t="shared" ref="L187" si="196">K187-IF(L186&lt;($E186+$O178), -$F179,-$F180)-IF(L186=$F182,$F183,0)+IF(L186=$E186+$O178,$F177,0)+IF(L186&gt;$F182,$F181-$F180,0)</f>
        <v>1.5959999999999996</v>
      </c>
      <c r="M187" s="1">
        <f t="shared" ref="M187" si="197">L187-IF(M186&lt;($E186+$O178), -$F179,-$F180)-IF(M186=$F182,$F183,0)+IF(M186=$E186+$O178,$F177,0)+IF(M186&gt;$F182,$F181-$F180,0)</f>
        <v>1.6729999999999996</v>
      </c>
      <c r="N187" s="1">
        <f t="shared" ref="N187" si="198">M187-IF(N186&lt;($E186+$O178), -$F179,-$F180)-IF(N186=$F182,$F183,0)+IF(N186=$E186+$O178,$F177,0)+IF(N186&gt;$F182,$F181-$F180,0)</f>
        <v>1.7499999999999996</v>
      </c>
    </row>
    <row r="188" spans="2:15" x14ac:dyDescent="0.3">
      <c r="B188" t="s">
        <v>13</v>
      </c>
      <c r="D188" s="5">
        <f>IF($O$22="Y",$J$25,0)</f>
        <v>0</v>
      </c>
      <c r="E188" s="5">
        <f t="shared" ref="E188" si="199">(1+(E189-D189)/D189)*D188</f>
        <v>0</v>
      </c>
      <c r="F188" s="5">
        <f t="shared" ref="F188" si="200">(1+(F189-E189)/E189)*E188</f>
        <v>0</v>
      </c>
      <c r="G188" s="5">
        <f t="shared" ref="G188" si="201">(1+(G189-F189)/F189)*F188</f>
        <v>0</v>
      </c>
      <c r="H188" s="5">
        <f t="shared" ref="H188" si="202">(1+(H189-G189)/G189)*G188</f>
        <v>0</v>
      </c>
      <c r="I188" s="5">
        <f t="shared" ref="I188" si="203">(1+(I189-H189)/H189)*H188</f>
        <v>0</v>
      </c>
      <c r="J188" s="5">
        <f t="shared" ref="J188" si="204">(1+(J189-I189)/I189)*I188</f>
        <v>0</v>
      </c>
      <c r="K188" s="5">
        <f t="shared" ref="K188" si="205">(1+(K189-J189)/J189)*J188</f>
        <v>0</v>
      </c>
      <c r="L188" s="5">
        <f t="shared" ref="L188" si="206">(1+(L189-K189)/K189)*K188</f>
        <v>0</v>
      </c>
      <c r="M188" s="5">
        <f t="shared" ref="M188" si="207">(1+(M189-L189)/L189)*L188</f>
        <v>0</v>
      </c>
      <c r="N188" s="5">
        <f t="shared" ref="N188" si="208">(1+(N189-M189)/M189)*M188</f>
        <v>0</v>
      </c>
    </row>
    <row r="189" spans="2:15" x14ac:dyDescent="0.3">
      <c r="B189" t="s">
        <v>0</v>
      </c>
      <c r="D189" s="10">
        <f>$O177*$O183</f>
        <v>548</v>
      </c>
      <c r="E189" s="10">
        <f t="shared" ref="E189:N189" si="209">$O177*$O183</f>
        <v>548</v>
      </c>
      <c r="F189" s="10">
        <f t="shared" si="209"/>
        <v>548</v>
      </c>
      <c r="G189" s="10">
        <f t="shared" si="209"/>
        <v>548</v>
      </c>
      <c r="H189" s="10">
        <f t="shared" si="209"/>
        <v>548</v>
      </c>
      <c r="I189" s="10">
        <f t="shared" si="209"/>
        <v>548</v>
      </c>
      <c r="J189" s="10">
        <f t="shared" si="209"/>
        <v>548</v>
      </c>
      <c r="K189" s="10">
        <f t="shared" si="209"/>
        <v>548</v>
      </c>
      <c r="L189" s="10">
        <f t="shared" si="209"/>
        <v>548</v>
      </c>
      <c r="M189" s="10">
        <f t="shared" si="209"/>
        <v>548</v>
      </c>
      <c r="N189" s="10">
        <f t="shared" si="209"/>
        <v>548</v>
      </c>
    </row>
    <row r="190" spans="2:15" x14ac:dyDescent="0.3">
      <c r="B190" t="s">
        <v>1</v>
      </c>
      <c r="D190" s="1">
        <f>O180</f>
        <v>0.35299999999999998</v>
      </c>
      <c r="E190" s="1">
        <f>D190+IF(E186&lt;($E186+$O178), $G179,0)+IF(AND(E186&gt;$E186+$O178,E186&lt;$F182),$G180,0)+IF(AND(E186&gt;$E186+$O178,E186&gt;$F182-1),$G181,0)</f>
        <v>0.35</v>
      </c>
      <c r="F190" s="1">
        <f t="shared" ref="F190" si="210">E190+IF(F186&lt;($E186+$O178), $G179,0)+IF(AND(F186&gt;$E186+$O178,F186&lt;$F182),$G180,0)+IF(AND(F186&gt;$E186+$O178,F186&gt;$F182-1),$G181,0)</f>
        <v>0.34699999999999998</v>
      </c>
      <c r="G190" s="1">
        <f t="shared" ref="G190" si="211">F190+IF(G186&lt;($E186+$O178), $G179,0)+IF(AND(G186&gt;$E186+$O178,G186&lt;$F182),$G180,0)+IF(AND(G186&gt;$E186+$O178,G186&gt;$F182-1),$G181,0)</f>
        <v>0.34699999999999998</v>
      </c>
      <c r="H190" s="1">
        <f t="shared" ref="H190" si="212">G190+IF(H186&lt;($E186+$O178), $G179,0)+IF(AND(H186&gt;$E186+$O178,H186&lt;$F182),$G180,0)+IF(AND(H186&gt;$E186+$O178,H186&gt;$F182-1),$G181,0)</f>
        <v>0.34199999999999997</v>
      </c>
      <c r="I190" s="1">
        <f t="shared" ref="I190" si="213">H190+IF(I186&lt;($E186+$O178), $G179,0)+IF(AND(I186&gt;$E186+$O178,I186&lt;$F182),$G180,0)+IF(AND(I186&gt;$E186+$O178,I186&gt;$F182-1),$G181,0)</f>
        <v>0.33699999999999997</v>
      </c>
      <c r="J190" s="1">
        <f t="shared" ref="J190" si="214">I190+IF(J186&lt;($E186+$O178), $G179,0)+IF(AND(J186&gt;$E186+$O178,J186&lt;$F182),$G180,0)+IF(AND(J186&gt;$E186+$O178,J186&gt;$F182-1),$G181,0)</f>
        <v>0.33199999999999996</v>
      </c>
      <c r="K190" s="1">
        <f t="shared" ref="K190" si="215">J190+IF(K186&lt;($E186+$O178), $G179,0)+IF(AND(K186&gt;$E186+$O178,K186&lt;$F182),$G180,0)+IF(AND(K186&gt;$E186+$O178,K186&gt;$F182-1),$G181,0)</f>
        <v>0.32699999999999996</v>
      </c>
      <c r="L190" s="1">
        <f t="shared" ref="L190" si="216">K190+IF(L186&lt;($E186+$O178), $G179,0)+IF(AND(L186&gt;$E186+$O178,L186&lt;$F182),$G180,0)+IF(AND(L186&gt;$E186+$O178,L186&gt;$F182-1),$G181,0)</f>
        <v>0.32199999999999995</v>
      </c>
      <c r="M190" s="1">
        <f t="shared" ref="M190" si="217">L190+IF(M186&lt;($E186+$O178), $G179,0)+IF(AND(M186&gt;$E186+$O178,M186&lt;$F182),$G180,0)+IF(AND(M186&gt;$E186+$O178,M186&gt;$F182-1),$G181,0)</f>
        <v>0.31699999999999995</v>
      </c>
      <c r="N190" s="1">
        <f t="shared" ref="N190" si="218">M190+IF(N186&lt;($E186+$O178), $G179,0)+IF(AND(N186&gt;$E186+$O178,N186&lt;$F182),$G180,0)+IF(AND(N186&gt;$E186+$O178,N186&gt;$F182-1),$G181,0)</f>
        <v>0.31199999999999994</v>
      </c>
    </row>
    <row r="191" spans="2:15" x14ac:dyDescent="0.3">
      <c r="B191" t="s">
        <v>2</v>
      </c>
      <c r="D191" s="27">
        <f>D189</f>
        <v>548</v>
      </c>
      <c r="E191" s="27">
        <f t="shared" ref="E191:N191" si="219">E189</f>
        <v>548</v>
      </c>
      <c r="F191" s="27">
        <f t="shared" si="219"/>
        <v>548</v>
      </c>
      <c r="G191" s="27">
        <f t="shared" si="219"/>
        <v>548</v>
      </c>
      <c r="H191" s="27">
        <f t="shared" si="219"/>
        <v>548</v>
      </c>
      <c r="I191" s="27">
        <f t="shared" si="219"/>
        <v>548</v>
      </c>
      <c r="J191" s="27">
        <f t="shared" si="219"/>
        <v>548</v>
      </c>
      <c r="K191" s="27">
        <f t="shared" si="219"/>
        <v>548</v>
      </c>
      <c r="L191" s="27">
        <f t="shared" si="219"/>
        <v>548</v>
      </c>
      <c r="M191" s="27">
        <f t="shared" si="219"/>
        <v>548</v>
      </c>
      <c r="N191" s="27">
        <f t="shared" si="219"/>
        <v>548</v>
      </c>
      <c r="O191" s="27"/>
    </row>
    <row r="192" spans="2:15" x14ac:dyDescent="0.3">
      <c r="B192" t="s">
        <v>3</v>
      </c>
      <c r="D192" s="27">
        <v>0</v>
      </c>
      <c r="E192" s="27">
        <v>0</v>
      </c>
      <c r="F192" s="27">
        <v>0</v>
      </c>
      <c r="G192" s="27">
        <v>0</v>
      </c>
      <c r="H192" s="27">
        <v>0</v>
      </c>
      <c r="I192" s="27">
        <v>0</v>
      </c>
      <c r="J192" s="27">
        <v>0</v>
      </c>
      <c r="K192" s="27">
        <v>0</v>
      </c>
      <c r="L192" s="27">
        <v>0</v>
      </c>
      <c r="M192" s="27">
        <v>0</v>
      </c>
      <c r="N192" s="27">
        <v>0</v>
      </c>
      <c r="O192" s="27"/>
    </row>
    <row r="193" spans="2:15" x14ac:dyDescent="0.3">
      <c r="B193" t="s">
        <v>4</v>
      </c>
      <c r="D193" s="27">
        <f>D191-D192</f>
        <v>548</v>
      </c>
      <c r="E193" s="27">
        <f>E191-E192</f>
        <v>548</v>
      </c>
      <c r="F193" s="27">
        <f t="shared" ref="F193:N193" si="220">F191-F192</f>
        <v>548</v>
      </c>
      <c r="G193" s="27">
        <f t="shared" si="220"/>
        <v>548</v>
      </c>
      <c r="H193" s="27">
        <f t="shared" si="220"/>
        <v>548</v>
      </c>
      <c r="I193" s="27">
        <f t="shared" si="220"/>
        <v>548</v>
      </c>
      <c r="J193" s="27">
        <f t="shared" si="220"/>
        <v>548</v>
      </c>
      <c r="K193" s="27">
        <f t="shared" si="220"/>
        <v>548</v>
      </c>
      <c r="L193" s="27">
        <f t="shared" si="220"/>
        <v>548</v>
      </c>
      <c r="M193" s="27">
        <f t="shared" si="220"/>
        <v>548</v>
      </c>
      <c r="N193" s="27">
        <f t="shared" si="220"/>
        <v>548</v>
      </c>
      <c r="O193" s="27"/>
    </row>
    <row r="194" spans="2:15" x14ac:dyDescent="0.3">
      <c r="B194" t="s">
        <v>8</v>
      </c>
      <c r="D194" s="27">
        <f t="shared" ref="D194:N194" si="221">D193*$O182</f>
        <v>211.52799999999999</v>
      </c>
      <c r="E194" s="27">
        <f t="shared" si="221"/>
        <v>211.52799999999999</v>
      </c>
      <c r="F194" s="27">
        <f t="shared" si="221"/>
        <v>211.52799999999999</v>
      </c>
      <c r="G194" s="27">
        <f t="shared" si="221"/>
        <v>211.52799999999999</v>
      </c>
      <c r="H194" s="27">
        <f t="shared" si="221"/>
        <v>211.52799999999999</v>
      </c>
      <c r="I194" s="27">
        <f t="shared" si="221"/>
        <v>211.52799999999999</v>
      </c>
      <c r="J194" s="27">
        <f t="shared" si="221"/>
        <v>211.52799999999999</v>
      </c>
      <c r="K194" s="27">
        <f t="shared" si="221"/>
        <v>211.52799999999999</v>
      </c>
      <c r="L194" s="27">
        <f t="shared" si="221"/>
        <v>211.52799999999999</v>
      </c>
      <c r="M194" s="27">
        <f t="shared" si="221"/>
        <v>211.52799999999999</v>
      </c>
      <c r="N194" s="27">
        <f t="shared" si="221"/>
        <v>211.52799999999999</v>
      </c>
      <c r="O194" s="27"/>
    </row>
    <row r="195" spans="2:15" x14ac:dyDescent="0.3">
      <c r="B195" t="s">
        <v>9</v>
      </c>
      <c r="D195" s="27">
        <f>D193-D194</f>
        <v>336.47199999999998</v>
      </c>
      <c r="E195" s="27">
        <f t="shared" ref="E195:N195" si="222">E193-E194</f>
        <v>336.47199999999998</v>
      </c>
      <c r="F195" s="27">
        <f t="shared" si="222"/>
        <v>336.47199999999998</v>
      </c>
      <c r="G195" s="27">
        <f t="shared" si="222"/>
        <v>336.47199999999998</v>
      </c>
      <c r="H195" s="27">
        <f t="shared" si="222"/>
        <v>336.47199999999998</v>
      </c>
      <c r="I195" s="27">
        <f t="shared" si="222"/>
        <v>336.47199999999998</v>
      </c>
      <c r="J195" s="27">
        <f t="shared" si="222"/>
        <v>336.47199999999998</v>
      </c>
      <c r="K195" s="27">
        <f t="shared" si="222"/>
        <v>336.47199999999998</v>
      </c>
      <c r="L195" s="27">
        <f t="shared" si="222"/>
        <v>336.47199999999998</v>
      </c>
      <c r="M195" s="27">
        <f t="shared" si="222"/>
        <v>336.47199999999998</v>
      </c>
      <c r="N195" s="27">
        <f t="shared" si="222"/>
        <v>336.47199999999998</v>
      </c>
      <c r="O195" s="27"/>
    </row>
    <row r="196" spans="2:15" x14ac:dyDescent="0.3">
      <c r="B196" t="s">
        <v>10</v>
      </c>
      <c r="D196" s="27">
        <f t="shared" ref="D196:N196" si="223">D195/(1+$O181)^(D186-2018)</f>
        <v>336.47199999999998</v>
      </c>
      <c r="E196" s="27">
        <f t="shared" si="223"/>
        <v>303.12792792792789</v>
      </c>
      <c r="F196" s="27">
        <f t="shared" si="223"/>
        <v>273.08822335849356</v>
      </c>
      <c r="G196" s="27">
        <f t="shared" si="223"/>
        <v>246.02542644909329</v>
      </c>
      <c r="H196" s="27">
        <f t="shared" si="223"/>
        <v>221.64452833251647</v>
      </c>
      <c r="I196" s="27">
        <f t="shared" si="223"/>
        <v>199.67975525451934</v>
      </c>
      <c r="J196" s="27">
        <f t="shared" si="223"/>
        <v>179.89167140046786</v>
      </c>
      <c r="K196" s="27">
        <f t="shared" si="223"/>
        <v>162.06456882925031</v>
      </c>
      <c r="L196" s="27">
        <f t="shared" si="223"/>
        <v>146.00411606238765</v>
      </c>
      <c r="M196" s="27">
        <f t="shared" si="223"/>
        <v>131.53523969584469</v>
      </c>
      <c r="N196" s="27">
        <f t="shared" si="223"/>
        <v>118.50021594220243</v>
      </c>
      <c r="O196" s="27">
        <f>N196/(O181-O184)</f>
        <v>1692.8602277457489</v>
      </c>
    </row>
    <row r="198" spans="2:15" x14ac:dyDescent="0.3">
      <c r="B198" t="s">
        <v>20</v>
      </c>
      <c r="D198" s="10">
        <f>SUM(E196:O196)</f>
        <v>3674.4219009984522</v>
      </c>
      <c r="E198" s="13" t="s">
        <v>22</v>
      </c>
    </row>
    <row r="199" spans="2:15" x14ac:dyDescent="0.3">
      <c r="B199" t="s">
        <v>14</v>
      </c>
      <c r="D199" s="27">
        <f>IF(OR(F177&gt;0, F179&lt;&gt;F180),O177,0)</f>
        <v>0</v>
      </c>
      <c r="E199" s="13"/>
    </row>
    <row r="200" spans="2:15" x14ac:dyDescent="0.3">
      <c r="B200" t="s">
        <v>21</v>
      </c>
      <c r="D200" s="27">
        <f>D198-D199</f>
        <v>3674.4219009984522</v>
      </c>
      <c r="E200" s="13"/>
    </row>
  </sheetData>
  <conditionalFormatting sqref="K15 O15">
    <cfRule type="cellIs" dxfId="1" priority="2" operator="notEqual">
      <formula>1</formula>
    </cfRule>
  </conditionalFormatting>
  <conditionalFormatting sqref="L17">
    <cfRule type="cellIs" dxfId="0" priority="1" operator="equal">
      <formula>"Don't invest to avoid loss"</formula>
    </cfRule>
  </conditionalFormatting>
  <pageMargins left="0.25" right="0.25" top="0.25" bottom="0.25" header="0.3" footer="0.3"/>
  <pageSetup fitToHeight="0" orientation="landscape" horizontalDpi="300" verticalDpi="300" r:id="rId1"/>
  <legacyDrawing r:id="rId2"/>
  <picture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3"/>
  <sheetViews>
    <sheetView showGridLines="0" showRowColHeaders="0" workbookViewId="0">
      <selection activeCell="B27" sqref="B27"/>
    </sheetView>
  </sheetViews>
  <sheetFormatPr defaultColWidth="10.77734375" defaultRowHeight="18" x14ac:dyDescent="0.35"/>
  <cols>
    <col min="1" max="1" width="12.21875" style="26" customWidth="1"/>
    <col min="2" max="2" width="14.6640625" style="26" customWidth="1"/>
    <col min="3" max="3" width="15.88671875" style="26" customWidth="1"/>
    <col min="4" max="4" width="14.33203125" style="26" customWidth="1"/>
    <col min="5" max="5" width="14.5546875" style="26" customWidth="1"/>
    <col min="6" max="6" width="10.44140625" style="26" customWidth="1"/>
    <col min="7" max="7" width="10.77734375" style="26"/>
    <col min="8" max="8" width="24.44140625" style="26" customWidth="1"/>
    <col min="9" max="16384" width="10.77734375" style="26"/>
  </cols>
  <sheetData>
    <row r="1" spans="1:5" ht="18.600000000000001" thickBot="1" x14ac:dyDescent="0.4">
      <c r="A1" s="45" t="s">
        <v>143</v>
      </c>
      <c r="B1" s="46"/>
      <c r="C1" s="46"/>
      <c r="D1" s="46"/>
      <c r="E1" s="46"/>
    </row>
    <row r="2" spans="1:5" customFormat="1" ht="16.2" customHeight="1" x14ac:dyDescent="0.3">
      <c r="D2" s="39">
        <f>'Financial Models'!K12+'Financial Models'!K13</f>
        <v>0.6</v>
      </c>
      <c r="E2" s="34">
        <f>_xll.PTreeNodeProbability(treeCalc_1!$F$2,6)</f>
        <v>0.48</v>
      </c>
    </row>
    <row r="3" spans="1:5" customFormat="1" ht="16.2" customHeight="1" x14ac:dyDescent="0.3">
      <c r="D3" s="41">
        <f>'Financial Models'!F13</f>
        <v>19214.036261569287</v>
      </c>
      <c r="E3" s="44">
        <f>_xll.PTreeNodeValue(treeCalc_1!$F$2,6)</f>
        <v>5514.0362615692866</v>
      </c>
    </row>
    <row r="4" spans="1:5" customFormat="1" ht="16.2" customHeight="1" x14ac:dyDescent="0.3">
      <c r="C4" s="39">
        <f>'Financial Models'!K11+'Financial Models'!K12</f>
        <v>0.8</v>
      </c>
      <c r="D4" s="38" t="s">
        <v>131</v>
      </c>
    </row>
    <row r="5" spans="1:5" customFormat="1" ht="16.2" customHeight="1" x14ac:dyDescent="0.3">
      <c r="C5" s="35">
        <v>0</v>
      </c>
      <c r="D5" s="42">
        <f>_xll.PTreeNodeValue(treeCalc_1!$F$2,4)</f>
        <v>9194.3458093932477</v>
      </c>
    </row>
    <row r="6" spans="1:5" customFormat="1" ht="16.2" customHeight="1" x14ac:dyDescent="0.3">
      <c r="D6" s="39">
        <f>1-D2</f>
        <v>0.4</v>
      </c>
      <c r="E6" s="34">
        <f>_xll.PTreeNodeProbability(treeCalc_1!$F$2,7)</f>
        <v>0.32000000000000006</v>
      </c>
    </row>
    <row r="7" spans="1:5" customFormat="1" ht="16.2" customHeight="1" x14ac:dyDescent="0.3">
      <c r="D7" s="41">
        <f>'Financial Models'!F12</f>
        <v>28414.810131129187</v>
      </c>
      <c r="E7" s="44">
        <f>_xll.PTreeNodeValue(treeCalc_1!$F$2,7)</f>
        <v>14714.810131129187</v>
      </c>
    </row>
    <row r="8" spans="1:5" customFormat="1" ht="16.2" customHeight="1" x14ac:dyDescent="0.3">
      <c r="B8" s="37" t="b">
        <f>_xll.PTreeNodeDecision(treeCalc_1!$F$2,2)</f>
        <v>1</v>
      </c>
      <c r="C8" s="40" t="s">
        <v>135</v>
      </c>
    </row>
    <row r="9" spans="1:5" customFormat="1" ht="16.2" customHeight="1" x14ac:dyDescent="0.3">
      <c r="B9" s="35">
        <f>-'Financial Models'!L21</f>
        <v>-13700</v>
      </c>
      <c r="C9" s="42">
        <f>_xll.PTreeNodeValue(treeCalc_1!$F$2,2)</f>
        <v>6290.8231364554122</v>
      </c>
    </row>
    <row r="10" spans="1:5" customFormat="1" ht="16.2" customHeight="1" x14ac:dyDescent="0.3">
      <c r="D10" s="39">
        <f>D2</f>
        <v>0.6</v>
      </c>
      <c r="E10" s="34">
        <f>_xll.PTreeNodeProbability(treeCalc_1!$F$2,8)</f>
        <v>0.11999999999999997</v>
      </c>
    </row>
    <row r="11" spans="1:5" customFormat="1" ht="16.2" customHeight="1" x14ac:dyDescent="0.3">
      <c r="D11" s="41">
        <f>'Financial Models'!F14</f>
        <v>7378.5424141040112</v>
      </c>
      <c r="E11" s="44">
        <f>_xll.PTreeNodeValue(treeCalc_1!$F$2,8)</f>
        <v>-6321.4575858959888</v>
      </c>
    </row>
    <row r="12" spans="1:5" customFormat="1" ht="16.2" customHeight="1" x14ac:dyDescent="0.3">
      <c r="C12" s="39">
        <f>1-C4</f>
        <v>0.19999999999999996</v>
      </c>
      <c r="D12" s="38" t="s">
        <v>131</v>
      </c>
    </row>
    <row r="13" spans="1:5" customFormat="1" ht="16.2" customHeight="1" x14ac:dyDescent="0.3">
      <c r="C13" s="35">
        <v>0</v>
      </c>
      <c r="D13" s="42">
        <f>_xll.PTreeNodeValue(treeCalc_1!$F$2,5)</f>
        <v>-5323.2675552959336</v>
      </c>
    </row>
    <row r="14" spans="1:5" customFormat="1" ht="16.2" customHeight="1" x14ac:dyDescent="0.3">
      <c r="D14" s="39">
        <f>D6</f>
        <v>0.4</v>
      </c>
      <c r="E14" s="34">
        <f>_xll.PTreeNodeProbability(treeCalc_1!$F$2,9)</f>
        <v>7.9999999999999988E-2</v>
      </c>
    </row>
    <row r="15" spans="1:5" customFormat="1" ht="16.2" customHeight="1" x14ac:dyDescent="0.3">
      <c r="D15" s="41">
        <f>'Financial Models'!F11</f>
        <v>9874.0174906041502</v>
      </c>
      <c r="E15" s="44">
        <f>_xll.PTreeNodeValue(treeCalc_1!$F$2,9)</f>
        <v>-3825.9825093958498</v>
      </c>
    </row>
    <row r="16" spans="1:5" customFormat="1" ht="16.2" customHeight="1" x14ac:dyDescent="0.3">
      <c r="A16" s="35"/>
      <c r="B16" s="36" t="s">
        <v>122</v>
      </c>
    </row>
    <row r="17" spans="1:4" customFormat="1" ht="16.2" customHeight="1" x14ac:dyDescent="0.3">
      <c r="A17" s="35"/>
      <c r="B17" s="43">
        <f>_xll.PTreeNodeValue(treeCalc_1!$F$2,1)</f>
        <v>6290.8231364554122</v>
      </c>
    </row>
    <row r="18" spans="1:4" customFormat="1" ht="16.2" customHeight="1" x14ac:dyDescent="0.3">
      <c r="C18" s="39">
        <f>'Financial Models'!O11</f>
        <v>0.4</v>
      </c>
      <c r="D18" s="34">
        <f>_xll.PTreeNodeProbability(treeCalc_1!$F$2,18)</f>
        <v>0</v>
      </c>
    </row>
    <row r="19" spans="1:4" customFormat="1" ht="16.2" customHeight="1" x14ac:dyDescent="0.3">
      <c r="C19" s="41">
        <f>'Financial Models'!F15</f>
        <v>10104.660227745744</v>
      </c>
      <c r="D19" s="44">
        <f>_xll.PTreeNodeValue(treeCalc_1!$F$2,18)</f>
        <v>10104.660227745744</v>
      </c>
    </row>
    <row r="20" spans="1:4" customFormat="1" ht="16.2" customHeight="1" x14ac:dyDescent="0.3">
      <c r="B20" s="37" t="b">
        <f>_xll.PTreeNodeDecision(treeCalc_1!$F$2,3)</f>
        <v>0</v>
      </c>
      <c r="C20" s="38" t="s">
        <v>141</v>
      </c>
    </row>
    <row r="21" spans="1:4" customFormat="1" ht="16.2" customHeight="1" x14ac:dyDescent="0.3">
      <c r="B21" s="35">
        <v>0</v>
      </c>
      <c r="C21" s="42">
        <f>_xll.PTreeNodeValue(treeCalc_1!$F$2,3)</f>
        <v>6246.5172316973694</v>
      </c>
    </row>
    <row r="22" spans="1:4" customFormat="1" ht="16.2" customHeight="1" x14ac:dyDescent="0.3">
      <c r="C22" s="39">
        <f>1-C18</f>
        <v>0.6</v>
      </c>
      <c r="D22" s="34">
        <f>_xll.PTreeNodeProbability(treeCalc_1!$F$2,19)</f>
        <v>0</v>
      </c>
    </row>
    <row r="23" spans="1:4" customFormat="1" ht="16.2" customHeight="1" x14ac:dyDescent="0.3">
      <c r="C23" s="41">
        <f>'Financial Models'!F16</f>
        <v>3674.4219009984522</v>
      </c>
      <c r="D23" s="44">
        <f>_xll.PTreeNodeValue(treeCalc_1!$F$2,19)</f>
        <v>3674.4219009984522</v>
      </c>
    </row>
  </sheetData>
  <pageMargins left="0.7" right="0.7" top="0.75" bottom="0.75" header="0.3" footer="0.3"/>
  <pageSetup orientation="landscape" verticalDpi="0" r:id="rId1"/>
  <drawing r:id="rId2"/>
  <picture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showGridLines="0" showRowColHeaders="0" workbookViewId="0">
      <selection activeCell="F32" sqref="F32"/>
    </sheetView>
  </sheetViews>
  <sheetFormatPr defaultRowHeight="14.4" x14ac:dyDescent="0.3"/>
  <sheetData/>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selection activeCell="B23" sqref="B23"/>
    </sheetView>
  </sheetViews>
  <sheetFormatPr defaultRowHeight="14.4" x14ac:dyDescent="0.3"/>
  <sheetData>
    <row r="1" spans="1:9" x14ac:dyDescent="0.3">
      <c r="B1">
        <v>2016</v>
      </c>
      <c r="C1">
        <f>B1-1</f>
        <v>2015</v>
      </c>
      <c r="D1">
        <f>C1-1</f>
        <v>2014</v>
      </c>
      <c r="E1">
        <f t="shared" ref="E1:F1" si="0">D1-1</f>
        <v>2013</v>
      </c>
      <c r="F1">
        <f t="shared" si="0"/>
        <v>2012</v>
      </c>
    </row>
    <row r="2" spans="1:9" x14ac:dyDescent="0.3">
      <c r="A2" t="s">
        <v>0</v>
      </c>
      <c r="B2">
        <v>15724</v>
      </c>
      <c r="C2">
        <v>15389</v>
      </c>
      <c r="D2">
        <v>14194</v>
      </c>
      <c r="E2">
        <v>12920</v>
      </c>
      <c r="F2">
        <v>11700</v>
      </c>
    </row>
    <row r="3" spans="1:9" x14ac:dyDescent="0.3">
      <c r="A3" t="s">
        <v>39</v>
      </c>
      <c r="B3">
        <v>5411</v>
      </c>
      <c r="C3">
        <v>5416</v>
      </c>
      <c r="D3">
        <v>5044</v>
      </c>
      <c r="E3">
        <v>4630</v>
      </c>
      <c r="F3">
        <v>4160</v>
      </c>
    </row>
    <row r="4" spans="1:9" x14ac:dyDescent="0.3">
      <c r="A4" t="s">
        <v>42</v>
      </c>
      <c r="B4" s="1">
        <f>B3/B2</f>
        <v>0.34412363266344442</v>
      </c>
      <c r="C4" s="1">
        <f t="shared" ref="C4:D4" si="1">C3/C2</f>
        <v>0.35193969718630191</v>
      </c>
      <c r="D4" s="1">
        <f t="shared" si="1"/>
        <v>0.35536142031844442</v>
      </c>
      <c r="E4" s="1">
        <f t="shared" ref="E4" si="2">E3/E2</f>
        <v>0.35835913312693496</v>
      </c>
      <c r="F4" s="1">
        <f t="shared" ref="F4" si="3">F3/F2</f>
        <v>0.35555555555555557</v>
      </c>
      <c r="G4" s="1">
        <f>AVERAGE(B4:F4)</f>
        <v>0.3530678877701362</v>
      </c>
    </row>
    <row r="5" spans="1:9" x14ac:dyDescent="0.3">
      <c r="A5" t="s">
        <v>3</v>
      </c>
      <c r="B5">
        <f>B3-B7</f>
        <v>4554</v>
      </c>
      <c r="C5">
        <f t="shared" ref="C5:D5" si="4">C3-C7</f>
        <v>4555</v>
      </c>
      <c r="D5">
        <f t="shared" si="4"/>
        <v>4110</v>
      </c>
      <c r="E5">
        <v>3730</v>
      </c>
      <c r="F5">
        <v>3400</v>
      </c>
    </row>
    <row r="6" spans="1:9" x14ac:dyDescent="0.3">
      <c r="A6" t="s">
        <v>46</v>
      </c>
      <c r="B6" s="1">
        <f>B5/B2</f>
        <v>0.28962096158738232</v>
      </c>
      <c r="C6" s="1">
        <f t="shared" ref="C6:D6" si="5">C5/C2</f>
        <v>0.29599064266683994</v>
      </c>
      <c r="D6" s="1">
        <f t="shared" si="5"/>
        <v>0.28955896857827251</v>
      </c>
      <c r="E6" s="1">
        <f t="shared" ref="E6" si="6">E5/E2</f>
        <v>0.28869969040247678</v>
      </c>
      <c r="F6" s="1">
        <f t="shared" ref="F6" si="7">F5/F2</f>
        <v>0.29059829059829062</v>
      </c>
      <c r="G6" s="1">
        <f>AVERAGE(B6:F6)</f>
        <v>0.29089371076665244</v>
      </c>
    </row>
    <row r="7" spans="1:9" x14ac:dyDescent="0.3">
      <c r="A7" t="s">
        <v>40</v>
      </c>
      <c r="B7">
        <v>857</v>
      </c>
      <c r="C7">
        <v>861</v>
      </c>
      <c r="D7">
        <v>934</v>
      </c>
      <c r="E7">
        <f>E3-E5</f>
        <v>900</v>
      </c>
      <c r="F7">
        <f>F3-F5</f>
        <v>760</v>
      </c>
    </row>
    <row r="8" spans="1:9" x14ac:dyDescent="0.3">
      <c r="A8" t="s">
        <v>43</v>
      </c>
      <c r="B8">
        <v>827</v>
      </c>
      <c r="C8">
        <v>878</v>
      </c>
      <c r="D8">
        <v>946</v>
      </c>
      <c r="E8">
        <v>894</v>
      </c>
      <c r="F8">
        <v>752</v>
      </c>
    </row>
    <row r="9" spans="1:9" x14ac:dyDescent="0.3">
      <c r="A9" t="s">
        <v>44</v>
      </c>
      <c r="B9">
        <v>320</v>
      </c>
      <c r="C9">
        <v>342</v>
      </c>
      <c r="D9">
        <v>367</v>
      </c>
      <c r="E9">
        <v>343</v>
      </c>
      <c r="F9">
        <v>286.47000000000003</v>
      </c>
    </row>
    <row r="10" spans="1:9" x14ac:dyDescent="0.3">
      <c r="A10" t="s">
        <v>45</v>
      </c>
      <c r="B10" s="1">
        <f>B9/B8</f>
        <v>0.38694074969770254</v>
      </c>
      <c r="C10" s="1">
        <f t="shared" ref="C10:D10" si="8">C9/C8</f>
        <v>0.38952164009111617</v>
      </c>
      <c r="D10" s="1">
        <f t="shared" si="8"/>
        <v>0.38794926004228331</v>
      </c>
      <c r="E10" s="1">
        <f t="shared" ref="E10" si="9">E9/E8</f>
        <v>0.38366890380313201</v>
      </c>
      <c r="F10" s="1">
        <f t="shared" ref="F10" si="10">F9/F8</f>
        <v>0.38094414893617023</v>
      </c>
      <c r="G10" s="1">
        <f>AVERAGE(B10:F10)</f>
        <v>0.38580494051408087</v>
      </c>
    </row>
    <row r="11" spans="1:9" x14ac:dyDescent="0.3">
      <c r="A11" t="s">
        <v>41</v>
      </c>
      <c r="B11">
        <v>507</v>
      </c>
      <c r="C11">
        <v>536</v>
      </c>
      <c r="D11">
        <v>579</v>
      </c>
      <c r="E11">
        <v>551</v>
      </c>
      <c r="F11">
        <v>465.57</v>
      </c>
    </row>
    <row r="12" spans="1:9" x14ac:dyDescent="0.3">
      <c r="B12" s="1">
        <f>B11/B2</f>
        <v>3.2243703892139403E-2</v>
      </c>
      <c r="C12" s="1">
        <f t="shared" ref="C12:F12" si="11">C11/C2</f>
        <v>3.4830073429072711E-2</v>
      </c>
      <c r="D12" s="1">
        <f t="shared" si="11"/>
        <v>4.0791883894603351E-2</v>
      </c>
      <c r="E12" s="1">
        <f t="shared" si="11"/>
        <v>4.2647058823529413E-2</v>
      </c>
      <c r="F12" s="1">
        <f t="shared" si="11"/>
        <v>3.9792307692307689E-2</v>
      </c>
    </row>
    <row r="13" spans="1:9" x14ac:dyDescent="0.3">
      <c r="B13" s="1"/>
      <c r="C13" s="1"/>
      <c r="D13" s="1"/>
      <c r="E13" s="1"/>
      <c r="F13" s="1"/>
    </row>
    <row r="14" spans="1:9" x14ac:dyDescent="0.3">
      <c r="A14" t="s">
        <v>54</v>
      </c>
      <c r="B14" s="1">
        <f t="shared" ref="B14:D14" si="12">(B2-C2)/C2</f>
        <v>2.1768795893170448E-2</v>
      </c>
      <c r="C14" s="1">
        <f t="shared" si="12"/>
        <v>8.4190503029449068E-2</v>
      </c>
      <c r="D14" s="1">
        <f t="shared" si="12"/>
        <v>9.8606811145510842E-2</v>
      </c>
      <c r="E14" s="1">
        <f>(E2-F2)/F2</f>
        <v>0.10427350427350428</v>
      </c>
      <c r="G14" s="1">
        <f t="shared" ref="G14:G15" si="13">AVERAGE(B14:F14)</f>
        <v>7.7209903585408662E-2</v>
      </c>
      <c r="H14" s="1">
        <f>AVERAGE(B14:D14)</f>
        <v>6.8188703356043448E-2</v>
      </c>
      <c r="I14" s="1">
        <f>AVERAGE(C14:E14)</f>
        <v>9.5690272816154734E-2</v>
      </c>
    </row>
    <row r="15" spans="1:9" x14ac:dyDescent="0.3">
      <c r="A15" t="s">
        <v>55</v>
      </c>
      <c r="B15" s="1">
        <f t="shared" ref="B15:D15" si="14">(B11-C11)/C11</f>
        <v>-5.4104477611940295E-2</v>
      </c>
      <c r="C15" s="1">
        <f t="shared" si="14"/>
        <v>-7.426597582037997E-2</v>
      </c>
      <c r="D15" s="1">
        <f t="shared" si="14"/>
        <v>5.0816696914700546E-2</v>
      </c>
      <c r="E15" s="1">
        <f>(E11-F11)/F11</f>
        <v>0.18349550013961383</v>
      </c>
      <c r="G15" s="1">
        <f t="shared" si="13"/>
        <v>2.6485435905498528E-2</v>
      </c>
      <c r="H15" s="1">
        <f>AVERAGE(B15:D15)</f>
        <v>-2.5851252172539904E-2</v>
      </c>
    </row>
    <row r="16" spans="1:9" x14ac:dyDescent="0.3">
      <c r="B16" s="1">
        <f t="shared" ref="B16:D16" si="15">B12-C12</f>
        <v>-2.5863695369333084E-3</v>
      </c>
      <c r="C16" s="1">
        <f t="shared" si="15"/>
        <v>-5.9618104655306398E-3</v>
      </c>
      <c r="D16" s="1">
        <f t="shared" si="15"/>
        <v>-1.8551749289260622E-3</v>
      </c>
      <c r="E16" s="1">
        <f>E12-F12</f>
        <v>2.8547511312217236E-3</v>
      </c>
      <c r="G16" s="1">
        <f t="shared" ref="G16" si="16">AVERAGE(B16:F16)</f>
        <v>-1.8871509500420717E-3</v>
      </c>
      <c r="H16" s="1">
        <f>AVERAGE(B16:D16)</f>
        <v>-3.4677849771300034E-3</v>
      </c>
    </row>
    <row r="17" spans="1:8" x14ac:dyDescent="0.3">
      <c r="B17" s="1">
        <f t="shared" ref="B17:D17" si="17">B4-C4</f>
        <v>-7.816064522857491E-3</v>
      </c>
      <c r="C17" s="1">
        <f t="shared" si="17"/>
        <v>-3.4217231321425068E-3</v>
      </c>
      <c r="D17" s="1">
        <f t="shared" si="17"/>
        <v>-2.997712808490538E-3</v>
      </c>
      <c r="E17" s="1">
        <f>E4-F4</f>
        <v>2.8035775713793898E-3</v>
      </c>
      <c r="G17" s="1">
        <f t="shared" ref="G17" si="18">AVERAGE(B17:F17)</f>
        <v>-2.8579807230277865E-3</v>
      </c>
      <c r="H17" s="1">
        <f>AVERAGE(B17:D17)</f>
        <v>-4.7451668211635116E-3</v>
      </c>
    </row>
    <row r="20" spans="1:8" x14ac:dyDescent="0.3">
      <c r="A20" t="s">
        <v>147</v>
      </c>
      <c r="B20">
        <v>33.06</v>
      </c>
      <c r="C20" s="1">
        <f>(B21-B20)/B20</f>
        <v>0.27041742286751352</v>
      </c>
      <c r="D20" t="s">
        <v>149</v>
      </c>
    </row>
    <row r="21" spans="1:8" x14ac:dyDescent="0.3">
      <c r="A21" t="s">
        <v>148</v>
      </c>
      <c r="B21">
        <v>42</v>
      </c>
    </row>
    <row r="23" spans="1:8" x14ac:dyDescent="0.3">
      <c r="A23" t="s">
        <v>147</v>
      </c>
      <c r="B23">
        <v>30</v>
      </c>
      <c r="C23" s="1">
        <f>(B24-B23)/B23</f>
        <v>0.4</v>
      </c>
      <c r="D23" t="s">
        <v>149</v>
      </c>
    </row>
    <row r="24" spans="1:8" x14ac:dyDescent="0.3">
      <c r="A24" t="s">
        <v>148</v>
      </c>
      <c r="B24">
        <v>42</v>
      </c>
    </row>
  </sheetData>
  <pageMargins left="0.7" right="0.7" top="0.75" bottom="0.75" header="0.3" footer="0.3"/>
  <pageSetup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9"/>
  <sheetViews>
    <sheetView workbookViewId="0"/>
  </sheetViews>
  <sheetFormatPr defaultColWidth="15.77734375" defaultRowHeight="14.4" x14ac:dyDescent="0.3"/>
  <cols>
    <col min="1" max="16384" width="15.77734375" style="32"/>
  </cols>
  <sheetData>
    <row r="1" spans="1:16" x14ac:dyDescent="0.3">
      <c r="A1" s="32" t="s">
        <v>77</v>
      </c>
      <c r="B1" s="31" t="s">
        <v>126</v>
      </c>
      <c r="E1" s="32" t="s">
        <v>85</v>
      </c>
      <c r="F1" s="32">
        <v>3</v>
      </c>
      <c r="H1" s="32" t="s">
        <v>92</v>
      </c>
      <c r="I1" s="31" t="s">
        <v>118</v>
      </c>
      <c r="K1" s="32" t="s">
        <v>97</v>
      </c>
      <c r="L1" s="32">
        <v>100</v>
      </c>
    </row>
    <row r="2" spans="1:16" x14ac:dyDescent="0.3">
      <c r="A2" s="32" t="s">
        <v>78</v>
      </c>
      <c r="B2" s="32" t="e">
        <f>'Example Decision Tree'!#REF!</f>
        <v>#REF!</v>
      </c>
      <c r="E2" s="32" t="s">
        <v>87</v>
      </c>
      <c r="F2" s="32">
        <f>_xll.PTreeEvaluate5(B3,$L$11:$L$29,$J$11:$J$29,$K$11:$K$29,$N$11:$N$29,$G$11:$G$29,,L1)</f>
        <v>77185</v>
      </c>
    </row>
    <row r="3" spans="1:16" x14ac:dyDescent="0.3">
      <c r="A3" s="32" t="s">
        <v>79</v>
      </c>
      <c r="B3" s="32" t="s">
        <v>121</v>
      </c>
      <c r="E3" s="32" t="s">
        <v>88</v>
      </c>
      <c r="F3" s="31" t="s">
        <v>114</v>
      </c>
      <c r="H3" s="32" t="s">
        <v>93</v>
      </c>
      <c r="I3" s="33" t="s">
        <v>116</v>
      </c>
    </row>
    <row r="4" spans="1:16" x14ac:dyDescent="0.3">
      <c r="A4" s="32" t="s">
        <v>80</v>
      </c>
      <c r="B4" s="32" t="s">
        <v>113</v>
      </c>
      <c r="E4" s="32" t="s">
        <v>89</v>
      </c>
      <c r="F4" s="31" t="s">
        <v>115</v>
      </c>
      <c r="H4" s="32" t="s">
        <v>94</v>
      </c>
      <c r="I4" s="31" t="s">
        <v>117</v>
      </c>
    </row>
    <row r="5" spans="1:16" x14ac:dyDescent="0.3">
      <c r="A5" s="32" t="s">
        <v>81</v>
      </c>
      <c r="B5" s="32">
        <v>0</v>
      </c>
      <c r="E5" s="32" t="s">
        <v>90</v>
      </c>
      <c r="F5" s="31" t="s">
        <v>115</v>
      </c>
      <c r="H5" s="32" t="s">
        <v>95</v>
      </c>
      <c r="I5" s="33" t="s">
        <v>116</v>
      </c>
    </row>
    <row r="6" spans="1:16" x14ac:dyDescent="0.3">
      <c r="A6" s="32" t="s">
        <v>82</v>
      </c>
      <c r="E6" s="32" t="s">
        <v>91</v>
      </c>
      <c r="F6" s="31" t="s">
        <v>114</v>
      </c>
      <c r="H6" s="32" t="s">
        <v>96</v>
      </c>
      <c r="I6" s="31" t="s">
        <v>117</v>
      </c>
    </row>
    <row r="7" spans="1:16" x14ac:dyDescent="0.3">
      <c r="A7" s="32" t="s">
        <v>83</v>
      </c>
      <c r="E7" s="32" t="s">
        <v>86</v>
      </c>
      <c r="F7" s="31" t="s">
        <v>76</v>
      </c>
    </row>
    <row r="8" spans="1:16" x14ac:dyDescent="0.3">
      <c r="A8" s="32" t="s">
        <v>84</v>
      </c>
      <c r="B8" s="32">
        <v>19</v>
      </c>
    </row>
    <row r="10" spans="1:16" x14ac:dyDescent="0.3">
      <c r="A10" s="32" t="s">
        <v>98</v>
      </c>
      <c r="B10" s="32" t="s">
        <v>99</v>
      </c>
      <c r="C10" s="32" t="s">
        <v>100</v>
      </c>
      <c r="D10" s="32" t="s">
        <v>101</v>
      </c>
      <c r="E10" s="32" t="s">
        <v>102</v>
      </c>
      <c r="F10" s="32" t="s">
        <v>103</v>
      </c>
      <c r="G10" s="32" t="s">
        <v>104</v>
      </c>
      <c r="H10" s="32" t="s">
        <v>105</v>
      </c>
      <c r="I10" s="32" t="s">
        <v>106</v>
      </c>
      <c r="J10" s="32" t="s">
        <v>107</v>
      </c>
      <c r="K10" s="32" t="s">
        <v>108</v>
      </c>
      <c r="L10" s="32" t="s">
        <v>79</v>
      </c>
      <c r="M10" s="32" t="s">
        <v>109</v>
      </c>
      <c r="N10" s="32" t="s">
        <v>110</v>
      </c>
      <c r="O10" s="32" t="s">
        <v>111</v>
      </c>
      <c r="P10" s="32" t="s">
        <v>112</v>
      </c>
    </row>
    <row r="11" spans="1:16" x14ac:dyDescent="0.3">
      <c r="A11" s="32">
        <f>'Example Decision Tree'!$B$17</f>
        <v>6290.8231364554122</v>
      </c>
      <c r="B11" s="32" t="str">
        <f>B1</f>
        <v>WF Decision</v>
      </c>
      <c r="C11" s="32">
        <v>0</v>
      </c>
      <c r="I11" s="32" t="s">
        <v>119</v>
      </c>
      <c r="J11" s="32">
        <f>'Example Decision Tree'!$A$17</f>
        <v>0</v>
      </c>
      <c r="K11" s="32">
        <f>'Example Decision Tree'!$A$16</f>
        <v>0</v>
      </c>
      <c r="L11" s="32" t="s">
        <v>123</v>
      </c>
      <c r="M11" s="31" t="s">
        <v>120</v>
      </c>
      <c r="O11" s="32" t="str">
        <f>'Example Decision Tree'!$B$16</f>
        <v>Buy WF?</v>
      </c>
      <c r="P11" s="32" t="b">
        <v>0</v>
      </c>
    </row>
    <row r="12" spans="1:16" x14ac:dyDescent="0.3">
      <c r="A12" s="32">
        <f>'Example Decision Tree'!$C$9</f>
        <v>6290.8231364554122</v>
      </c>
      <c r="B12" s="31" t="s">
        <v>124</v>
      </c>
      <c r="C12" s="32">
        <v>0</v>
      </c>
      <c r="I12" s="32" t="s">
        <v>119</v>
      </c>
      <c r="J12" s="32">
        <f>'Example Decision Tree'!$B$9</f>
        <v>-13700</v>
      </c>
      <c r="L12" s="32" t="s">
        <v>127</v>
      </c>
      <c r="M12" s="31" t="s">
        <v>120</v>
      </c>
      <c r="O12" s="32" t="str">
        <f>'Example Decision Tree'!$C$8</f>
        <v>#s (Revenue &amp; Mgn)</v>
      </c>
      <c r="P12" s="32" t="b">
        <v>0</v>
      </c>
    </row>
    <row r="13" spans="1:16" x14ac:dyDescent="0.3">
      <c r="A13" s="32">
        <f>'Example Decision Tree'!$C$21</f>
        <v>6246.5172316973694</v>
      </c>
      <c r="B13" s="31" t="s">
        <v>125</v>
      </c>
      <c r="C13" s="32">
        <v>0</v>
      </c>
      <c r="I13" s="32" t="s">
        <v>119</v>
      </c>
      <c r="J13" s="32">
        <f>'Example Decision Tree'!$B$21</f>
        <v>0</v>
      </c>
      <c r="L13" s="32" t="s">
        <v>137</v>
      </c>
      <c r="M13" s="31" t="s">
        <v>120</v>
      </c>
      <c r="O13" s="32" t="str">
        <f>'Example Decision Tree'!$C$20</f>
        <v>Alt Invstmnt</v>
      </c>
      <c r="P13" s="32" t="b">
        <v>0</v>
      </c>
    </row>
    <row r="14" spans="1:16" x14ac:dyDescent="0.3">
      <c r="A14" s="32">
        <f>'Example Decision Tree'!$D$5</f>
        <v>9194.3458093932477</v>
      </c>
      <c r="B14" s="31" t="s">
        <v>136</v>
      </c>
      <c r="C14" s="32">
        <v>0</v>
      </c>
      <c r="I14" s="32" t="s">
        <v>119</v>
      </c>
      <c r="J14" s="32">
        <f>'Example Decision Tree'!$C$5</f>
        <v>0</v>
      </c>
      <c r="K14" s="32">
        <f>'Example Decision Tree'!$C$4</f>
        <v>0.8</v>
      </c>
      <c r="L14" s="32" t="s">
        <v>130</v>
      </c>
      <c r="M14" s="31" t="s">
        <v>120</v>
      </c>
      <c r="O14" s="32" t="str">
        <f>'Example Decision Tree'!$D$4</f>
        <v>Rival</v>
      </c>
      <c r="P14" s="32" t="b">
        <v>0</v>
      </c>
    </row>
    <row r="15" spans="1:16" x14ac:dyDescent="0.3">
      <c r="A15" s="32">
        <f>'Example Decision Tree'!$D$13</f>
        <v>-5323.2675552959336</v>
      </c>
      <c r="B15" s="31" t="s">
        <v>128</v>
      </c>
      <c r="C15" s="32">
        <v>0</v>
      </c>
      <c r="I15" s="32" t="s">
        <v>119</v>
      </c>
      <c r="J15" s="32">
        <f>'Example Decision Tree'!$C$13</f>
        <v>0</v>
      </c>
      <c r="K15" s="32">
        <f>'Example Decision Tree'!$C$12</f>
        <v>0.19999999999999996</v>
      </c>
      <c r="L15" s="32" t="s">
        <v>139</v>
      </c>
      <c r="M15" s="31" t="s">
        <v>120</v>
      </c>
      <c r="O15" s="32" t="str">
        <f>'Example Decision Tree'!$D$12</f>
        <v>Rival</v>
      </c>
      <c r="P15" s="32" t="b">
        <v>0</v>
      </c>
    </row>
    <row r="16" spans="1:16" x14ac:dyDescent="0.3">
      <c r="A16" s="32">
        <f>'Example Decision Tree'!$E$3</f>
        <v>5514.0362615692866</v>
      </c>
      <c r="B16" s="31" t="s">
        <v>132</v>
      </c>
      <c r="C16" s="32">
        <v>0</v>
      </c>
      <c r="H16" s="32" t="s">
        <v>119</v>
      </c>
      <c r="I16" s="32" t="s">
        <v>119</v>
      </c>
      <c r="J16" s="32">
        <f>'Example Decision Tree'!$D$3</f>
        <v>19214.036261569287</v>
      </c>
      <c r="K16" s="32">
        <f>'Example Decision Tree'!$D$2</f>
        <v>0.6</v>
      </c>
      <c r="L16" s="32" t="s">
        <v>129</v>
      </c>
      <c r="M16" s="31" t="s">
        <v>120</v>
      </c>
      <c r="P16" s="32" t="b">
        <v>0</v>
      </c>
    </row>
    <row r="17" spans="1:16" x14ac:dyDescent="0.3">
      <c r="A17" s="32">
        <f>'Example Decision Tree'!$E$7</f>
        <v>14714.810131129187</v>
      </c>
      <c r="B17" s="31" t="s">
        <v>133</v>
      </c>
      <c r="C17" s="32">
        <v>0</v>
      </c>
      <c r="H17" s="32" t="s">
        <v>119</v>
      </c>
      <c r="I17" s="32" t="s">
        <v>119</v>
      </c>
      <c r="J17" s="32">
        <f>'Example Decision Tree'!$D$7</f>
        <v>28414.810131129187</v>
      </c>
      <c r="K17" s="32">
        <f>'Example Decision Tree'!$D$6</f>
        <v>0.4</v>
      </c>
      <c r="L17" s="32" t="s">
        <v>129</v>
      </c>
      <c r="M17" s="31" t="s">
        <v>120</v>
      </c>
      <c r="P17" s="32" t="b">
        <v>0</v>
      </c>
    </row>
    <row r="18" spans="1:16" x14ac:dyDescent="0.3">
      <c r="A18" s="32">
        <f>'Example Decision Tree'!$E$11</f>
        <v>-6321.4575858959888</v>
      </c>
      <c r="B18" s="31" t="s">
        <v>132</v>
      </c>
      <c r="C18" s="32">
        <v>0</v>
      </c>
      <c r="H18" s="32" t="s">
        <v>119</v>
      </c>
      <c r="I18" s="32" t="s">
        <v>119</v>
      </c>
      <c r="J18" s="32">
        <f>'Example Decision Tree'!$D$11</f>
        <v>7378.5424141040112</v>
      </c>
      <c r="K18" s="32">
        <f>'Example Decision Tree'!$D$10</f>
        <v>0.6</v>
      </c>
      <c r="L18" s="32" t="s">
        <v>140</v>
      </c>
      <c r="M18" s="31" t="s">
        <v>120</v>
      </c>
      <c r="P18" s="32" t="b">
        <v>0</v>
      </c>
    </row>
    <row r="19" spans="1:16" x14ac:dyDescent="0.3">
      <c r="A19" s="32">
        <f>'Example Decision Tree'!$E$15</f>
        <v>-3825.9825093958498</v>
      </c>
      <c r="B19" s="31" t="s">
        <v>133</v>
      </c>
      <c r="C19" s="32">
        <v>0</v>
      </c>
      <c r="H19" s="32" t="s">
        <v>119</v>
      </c>
      <c r="I19" s="32" t="s">
        <v>119</v>
      </c>
      <c r="J19" s="32">
        <f>'Example Decision Tree'!$D$15</f>
        <v>9874.0174906041502</v>
      </c>
      <c r="K19" s="32">
        <f>'Example Decision Tree'!$D$14</f>
        <v>0.4</v>
      </c>
      <c r="L19" s="32" t="s">
        <v>140</v>
      </c>
      <c r="M19" s="31" t="s">
        <v>120</v>
      </c>
      <c r="P19" s="32" t="b">
        <v>0</v>
      </c>
    </row>
    <row r="20" spans="1:16" x14ac:dyDescent="0.3">
      <c r="B20" s="31"/>
      <c r="M20" s="31"/>
    </row>
    <row r="21" spans="1:16" x14ac:dyDescent="0.3">
      <c r="B21" s="31"/>
      <c r="M21" s="31"/>
    </row>
    <row r="22" spans="1:16" x14ac:dyDescent="0.3">
      <c r="B22" s="31"/>
      <c r="M22" s="31"/>
    </row>
    <row r="23" spans="1:16" x14ac:dyDescent="0.3">
      <c r="B23" s="31"/>
      <c r="M23" s="31"/>
    </row>
    <row r="24" spans="1:16" x14ac:dyDescent="0.3">
      <c r="B24" s="31"/>
      <c r="M24" s="31"/>
    </row>
    <row r="25" spans="1:16" x14ac:dyDescent="0.3">
      <c r="B25" s="31"/>
      <c r="M25" s="31"/>
    </row>
    <row r="26" spans="1:16" x14ac:dyDescent="0.3">
      <c r="B26" s="31"/>
      <c r="M26" s="31"/>
    </row>
    <row r="27" spans="1:16" x14ac:dyDescent="0.3">
      <c r="B27" s="31"/>
      <c r="M27" s="31"/>
    </row>
    <row r="28" spans="1:16" x14ac:dyDescent="0.3">
      <c r="A28" s="32">
        <f>'Example Decision Tree'!$D$19</f>
        <v>10104.660227745744</v>
      </c>
      <c r="B28" s="31" t="s">
        <v>132</v>
      </c>
      <c r="C28" s="32">
        <v>0</v>
      </c>
      <c r="H28" s="32" t="s">
        <v>119</v>
      </c>
      <c r="I28" s="32" t="s">
        <v>119</v>
      </c>
      <c r="J28" s="32">
        <f>'Example Decision Tree'!$C$19</f>
        <v>10104.660227745744</v>
      </c>
      <c r="K28" s="32">
        <f>'Example Decision Tree'!$C$18</f>
        <v>0.4</v>
      </c>
      <c r="L28" s="32" t="s">
        <v>138</v>
      </c>
      <c r="M28" s="31" t="s">
        <v>120</v>
      </c>
      <c r="P28" s="32" t="b">
        <v>0</v>
      </c>
    </row>
    <row r="29" spans="1:16" x14ac:dyDescent="0.3">
      <c r="A29" s="32">
        <f>'Example Decision Tree'!$D$23</f>
        <v>3674.4219009984522</v>
      </c>
      <c r="B29" s="31" t="s">
        <v>133</v>
      </c>
      <c r="C29" s="32">
        <v>0</v>
      </c>
      <c r="H29" s="32" t="s">
        <v>119</v>
      </c>
      <c r="I29" s="32" t="s">
        <v>119</v>
      </c>
      <c r="J29" s="32">
        <f>'Example Decision Tree'!$C$23</f>
        <v>3674.4219009984522</v>
      </c>
      <c r="K29" s="32">
        <f>'Example Decision Tree'!$C$22</f>
        <v>0.6</v>
      </c>
      <c r="L29" s="32" t="s">
        <v>138</v>
      </c>
      <c r="M29" s="31" t="s">
        <v>120</v>
      </c>
      <c r="P29" s="32" t="b">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Financial Models</vt:lpstr>
      <vt:lpstr>Example Decision Tree</vt:lpstr>
      <vt:lpstr>Sensitivity</vt:lpstr>
      <vt:lpstr>Sheet1</vt:lpstr>
      <vt:lpstr>treeCalc_1</vt:lpstr>
    </vt:vector>
  </TitlesOfParts>
  <Company>Emory University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Russ Coff</dc:creator>
  <cp:lastModifiedBy>Russ Coff</cp:lastModifiedBy>
  <cp:lastPrinted>2013-01-24T18:42:34Z</cp:lastPrinted>
  <dcterms:created xsi:type="dcterms:W3CDTF">2010-07-12T21:39:58Z</dcterms:created>
  <dcterms:modified xsi:type="dcterms:W3CDTF">2017-07-28T21:44:19Z</dcterms:modified>
</cp:coreProperties>
</file>