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rcoff\Class-ExecMBAstrat\Cases\"/>
    </mc:Choice>
  </mc:AlternateContent>
  <bookViews>
    <workbookView xWindow="0" yWindow="0" windowWidth="13596" windowHeight="19116"/>
  </bookViews>
  <sheets>
    <sheet name="Amazon DSP Scenarios" sheetId="2" r:id="rId1"/>
    <sheet name="Amazon DSP Tree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0" i="2" l="1"/>
  <c r="B151" i="2" s="1"/>
  <c r="B125" i="2"/>
  <c r="C125" i="2" s="1"/>
  <c r="B100" i="2"/>
  <c r="B101" i="2" s="1"/>
  <c r="D99" i="2"/>
  <c r="E99" i="2" s="1"/>
  <c r="F99" i="2" s="1"/>
  <c r="G99" i="2" s="1"/>
  <c r="H99" i="2" s="1"/>
  <c r="I99" i="2" s="1"/>
  <c r="J99" i="2" s="1"/>
  <c r="K99" i="2" s="1"/>
  <c r="C99" i="2"/>
  <c r="I94" i="2"/>
  <c r="I93" i="2"/>
  <c r="I92" i="2"/>
  <c r="I91" i="2"/>
  <c r="B75" i="2"/>
  <c r="C75" i="2" s="1"/>
  <c r="D74" i="2"/>
  <c r="E74" i="2" s="1"/>
  <c r="F74" i="2" s="1"/>
  <c r="G74" i="2" s="1"/>
  <c r="H74" i="2" s="1"/>
  <c r="I74" i="2" s="1"/>
  <c r="J74" i="2" s="1"/>
  <c r="K74" i="2" s="1"/>
  <c r="C74" i="2"/>
  <c r="I69" i="2"/>
  <c r="I68" i="2"/>
  <c r="I67" i="2"/>
  <c r="I66" i="2"/>
  <c r="B50" i="2"/>
  <c r="B51" i="2" s="1"/>
  <c r="D49" i="2"/>
  <c r="E49" i="2" s="1"/>
  <c r="F49" i="2" s="1"/>
  <c r="G49" i="2" s="1"/>
  <c r="H49" i="2" s="1"/>
  <c r="I49" i="2" s="1"/>
  <c r="J49" i="2" s="1"/>
  <c r="K49" i="2" s="1"/>
  <c r="C49" i="2"/>
  <c r="I44" i="2"/>
  <c r="I43" i="2"/>
  <c r="I42" i="2"/>
  <c r="I41" i="2"/>
  <c r="B25" i="2"/>
  <c r="B26" i="2" s="1"/>
  <c r="C150" i="2" l="1"/>
  <c r="C126" i="2"/>
  <c r="D125" i="2"/>
  <c r="B126" i="2"/>
  <c r="C100" i="2"/>
  <c r="C76" i="2"/>
  <c r="D75" i="2"/>
  <c r="B76" i="2"/>
  <c r="C50" i="2"/>
  <c r="C25" i="2"/>
  <c r="I173" i="2"/>
  <c r="G173" i="2"/>
  <c r="F173" i="2"/>
  <c r="I172" i="2"/>
  <c r="G172" i="2"/>
  <c r="F172" i="2"/>
  <c r="I171" i="2"/>
  <c r="G171" i="2"/>
  <c r="F171" i="2"/>
  <c r="I170" i="2"/>
  <c r="G170" i="2"/>
  <c r="F170" i="2"/>
  <c r="I169" i="2"/>
  <c r="G169" i="2"/>
  <c r="F169" i="2"/>
  <c r="I168" i="2"/>
  <c r="G168" i="2"/>
  <c r="F168" i="2"/>
  <c r="I167" i="2"/>
  <c r="G167" i="2"/>
  <c r="F167" i="2"/>
  <c r="I166" i="2"/>
  <c r="G166" i="2"/>
  <c r="F166" i="2"/>
  <c r="I165" i="2"/>
  <c r="G165" i="2"/>
  <c r="F165" i="2"/>
  <c r="B153" i="2"/>
  <c r="C149" i="2"/>
  <c r="D149" i="2" s="1"/>
  <c r="E149" i="2" s="1"/>
  <c r="F149" i="2" s="1"/>
  <c r="G149" i="2" s="1"/>
  <c r="H149" i="2" s="1"/>
  <c r="I149" i="2" s="1"/>
  <c r="J149" i="2" s="1"/>
  <c r="K149" i="2" s="1"/>
  <c r="I144" i="2"/>
  <c r="I143" i="2"/>
  <c r="I142" i="2"/>
  <c r="I141" i="2"/>
  <c r="H124" i="2"/>
  <c r="I124" i="2" s="1"/>
  <c r="J124" i="2" s="1"/>
  <c r="K124" i="2" s="1"/>
  <c r="D124" i="2"/>
  <c r="E124" i="2" s="1"/>
  <c r="F124" i="2" s="1"/>
  <c r="G124" i="2" s="1"/>
  <c r="C124" i="2"/>
  <c r="I119" i="2"/>
  <c r="I118" i="2"/>
  <c r="I117" i="2"/>
  <c r="I116" i="2"/>
  <c r="D24" i="2"/>
  <c r="E24" i="2" s="1"/>
  <c r="F24" i="2" s="1"/>
  <c r="G24" i="2" s="1"/>
  <c r="H24" i="2" s="1"/>
  <c r="I24" i="2" s="1"/>
  <c r="J24" i="2" s="1"/>
  <c r="K24" i="2" s="1"/>
  <c r="C24" i="2"/>
  <c r="I19" i="2"/>
  <c r="I18" i="2"/>
  <c r="I17" i="2"/>
  <c r="I16" i="2"/>
  <c r="B28" i="2" s="1"/>
  <c r="K8" i="2"/>
  <c r="F8" i="2"/>
  <c r="A5" i="2"/>
  <c r="A4" i="2"/>
  <c r="H3" i="2"/>
  <c r="A3" i="2"/>
  <c r="H2" i="2"/>
  <c r="A2" i="2"/>
  <c r="C151" i="2" l="1"/>
  <c r="D150" i="2"/>
  <c r="E125" i="2"/>
  <c r="D126" i="2"/>
  <c r="C101" i="2"/>
  <c r="D100" i="2"/>
  <c r="E75" i="2"/>
  <c r="D76" i="2"/>
  <c r="C51" i="2"/>
  <c r="D50" i="2"/>
  <c r="C26" i="2"/>
  <c r="D25" i="2"/>
  <c r="C28" i="2"/>
  <c r="B128" i="2"/>
  <c r="B27" i="2"/>
  <c r="B29" i="2" s="1"/>
  <c r="B53" i="2"/>
  <c r="B103" i="2"/>
  <c r="B78" i="2"/>
  <c r="E150" i="2" l="1"/>
  <c r="D151" i="2"/>
  <c r="E126" i="2"/>
  <c r="F125" i="2"/>
  <c r="E100" i="2"/>
  <c r="D101" i="2"/>
  <c r="E76" i="2"/>
  <c r="F75" i="2"/>
  <c r="E50" i="2"/>
  <c r="D51" i="2"/>
  <c r="E25" i="2"/>
  <c r="D26" i="2"/>
  <c r="B31" i="2"/>
  <c r="C153" i="2"/>
  <c r="D28" i="2"/>
  <c r="C78" i="2"/>
  <c r="C128" i="2"/>
  <c r="B77" i="2"/>
  <c r="B79" i="2" s="1"/>
  <c r="C103" i="2"/>
  <c r="B52" i="2"/>
  <c r="B54" i="2" s="1"/>
  <c r="B127" i="2"/>
  <c r="B129" i="2" s="1"/>
  <c r="C27" i="2"/>
  <c r="C29" i="2" s="1"/>
  <c r="C31" i="2" s="1"/>
  <c r="C53" i="2"/>
  <c r="B152" i="2"/>
  <c r="B154" i="2" s="1"/>
  <c r="B102" i="2"/>
  <c r="B104" i="2"/>
  <c r="E151" i="2" l="1"/>
  <c r="F150" i="2"/>
  <c r="F126" i="2"/>
  <c r="G125" i="2"/>
  <c r="E101" i="2"/>
  <c r="F100" i="2"/>
  <c r="G75" i="2"/>
  <c r="F76" i="2"/>
  <c r="F50" i="2"/>
  <c r="E51" i="2"/>
  <c r="E26" i="2"/>
  <c r="F25" i="2"/>
  <c r="B133" i="2"/>
  <c r="B81" i="2"/>
  <c r="B158" i="2"/>
  <c r="B106" i="2"/>
  <c r="B56" i="2"/>
  <c r="C52" i="2"/>
  <c r="C54" i="2" s="1"/>
  <c r="D103" i="2"/>
  <c r="D78" i="2"/>
  <c r="D27" i="2"/>
  <c r="D29" i="2"/>
  <c r="D31" i="2" s="1"/>
  <c r="D153" i="2"/>
  <c r="D53" i="2"/>
  <c r="C152" i="2"/>
  <c r="C154" i="2" s="1"/>
  <c r="C102" i="2"/>
  <c r="C104" i="2" s="1"/>
  <c r="C106" i="2" s="1"/>
  <c r="D128" i="2"/>
  <c r="C77" i="2"/>
  <c r="C79" i="2" s="1"/>
  <c r="E28" i="2"/>
  <c r="C127" i="2"/>
  <c r="C129" i="2" s="1"/>
  <c r="C133" i="2" s="1"/>
  <c r="F151" i="2" l="1"/>
  <c r="G150" i="2"/>
  <c r="G126" i="2"/>
  <c r="H125" i="2"/>
  <c r="F101" i="2"/>
  <c r="G100" i="2"/>
  <c r="G76" i="2"/>
  <c r="H75" i="2"/>
  <c r="F51" i="2"/>
  <c r="G50" i="2"/>
  <c r="F26" i="2"/>
  <c r="G25" i="2"/>
  <c r="C56" i="2"/>
  <c r="C81" i="2"/>
  <c r="C158" i="2"/>
  <c r="D54" i="2"/>
  <c r="D56" i="2" s="1"/>
  <c r="D52" i="2"/>
  <c r="F28" i="2"/>
  <c r="D102" i="2"/>
  <c r="D104" i="2" s="1"/>
  <c r="D127" i="2"/>
  <c r="D129" i="2" s="1"/>
  <c r="D133" i="2" s="1"/>
  <c r="E78" i="2"/>
  <c r="E153" i="2"/>
  <c r="E27" i="2"/>
  <c r="E29" i="2" s="1"/>
  <c r="E53" i="2"/>
  <c r="D152" i="2"/>
  <c r="D154" i="2" s="1"/>
  <c r="D77" i="2"/>
  <c r="D79" i="2" s="1"/>
  <c r="D81" i="2" s="1"/>
  <c r="E128" i="2"/>
  <c r="E103" i="2"/>
  <c r="G151" i="2" l="1"/>
  <c r="H150" i="2"/>
  <c r="I125" i="2"/>
  <c r="H126" i="2"/>
  <c r="G101" i="2"/>
  <c r="H100" i="2"/>
  <c r="I75" i="2"/>
  <c r="H76" i="2"/>
  <c r="G51" i="2"/>
  <c r="H50" i="2"/>
  <c r="G26" i="2"/>
  <c r="H25" i="2"/>
  <c r="D158" i="2"/>
  <c r="E127" i="2"/>
  <c r="E129" i="2" s="1"/>
  <c r="F27" i="2"/>
  <c r="F29" i="2" s="1"/>
  <c r="F31" i="2" s="1"/>
  <c r="E152" i="2"/>
  <c r="E154" i="2" s="1"/>
  <c r="F103" i="2"/>
  <c r="E52" i="2"/>
  <c r="E54" i="2" s="1"/>
  <c r="E56" i="2" s="1"/>
  <c r="E77" i="2"/>
  <c r="E79" i="2" s="1"/>
  <c r="E81" i="2" s="1"/>
  <c r="E102" i="2"/>
  <c r="E104" i="2" s="1"/>
  <c r="G28" i="2"/>
  <c r="F153" i="2"/>
  <c r="F128" i="2"/>
  <c r="F53" i="2"/>
  <c r="E31" i="2"/>
  <c r="F78" i="2"/>
  <c r="D106" i="2"/>
  <c r="I150" i="2" l="1"/>
  <c r="H151" i="2"/>
  <c r="J125" i="2"/>
  <c r="I126" i="2"/>
  <c r="I100" i="2"/>
  <c r="H101" i="2"/>
  <c r="J75" i="2"/>
  <c r="I76" i="2"/>
  <c r="I50" i="2"/>
  <c r="H51" i="2"/>
  <c r="I25" i="2"/>
  <c r="H26" i="2"/>
  <c r="E158" i="2"/>
  <c r="E106" i="2"/>
  <c r="E133" i="2"/>
  <c r="G153" i="2"/>
  <c r="G27" i="2"/>
  <c r="G29" i="2" s="1"/>
  <c r="G31" i="2" s="1"/>
  <c r="G103" i="2"/>
  <c r="F77" i="2"/>
  <c r="F79" i="2" s="1"/>
  <c r="F81" i="2" s="1"/>
  <c r="G53" i="2"/>
  <c r="F127" i="2"/>
  <c r="F129" i="2" s="1"/>
  <c r="F133" i="2" s="1"/>
  <c r="F52" i="2"/>
  <c r="F54" i="2" s="1"/>
  <c r="F56" i="2" s="1"/>
  <c r="H28" i="2"/>
  <c r="G78" i="2"/>
  <c r="G128" i="2"/>
  <c r="F152" i="2"/>
  <c r="F154" i="2" s="1"/>
  <c r="F102" i="2"/>
  <c r="F104" i="2" s="1"/>
  <c r="F106" i="2" s="1"/>
  <c r="J150" i="2" l="1"/>
  <c r="I151" i="2"/>
  <c r="K125" i="2"/>
  <c r="K126" i="2" s="1"/>
  <c r="J126" i="2"/>
  <c r="J100" i="2"/>
  <c r="I101" i="2"/>
  <c r="J76" i="2"/>
  <c r="K75" i="2"/>
  <c r="K76" i="2" s="1"/>
  <c r="J50" i="2"/>
  <c r="I51" i="2"/>
  <c r="I26" i="2"/>
  <c r="J25" i="2"/>
  <c r="F158" i="2"/>
  <c r="G77" i="2"/>
  <c r="G79" i="2" s="1"/>
  <c r="G81" i="2" s="1"/>
  <c r="G102" i="2"/>
  <c r="G104" i="2" s="1"/>
  <c r="G106" i="2" s="1"/>
  <c r="G152" i="2"/>
  <c r="G154" i="2" s="1"/>
  <c r="G158" i="2" s="1"/>
  <c r="H27" i="2"/>
  <c r="H29" i="2" s="1"/>
  <c r="H31" i="2" s="1"/>
  <c r="H103" i="2"/>
  <c r="H53" i="2"/>
  <c r="G127" i="2"/>
  <c r="G129" i="2" s="1"/>
  <c r="G133" i="2" s="1"/>
  <c r="H128" i="2"/>
  <c r="H78" i="2"/>
  <c r="I28" i="2"/>
  <c r="G52" i="2"/>
  <c r="G54" i="2" s="1"/>
  <c r="G56" i="2" s="1"/>
  <c r="H153" i="2"/>
  <c r="J151" i="2" l="1"/>
  <c r="K150" i="2"/>
  <c r="K151" i="2" s="1"/>
  <c r="J101" i="2"/>
  <c r="K100" i="2"/>
  <c r="K101" i="2" s="1"/>
  <c r="J51" i="2"/>
  <c r="K50" i="2"/>
  <c r="K51" i="2" s="1"/>
  <c r="K25" i="2"/>
  <c r="K26" i="2" s="1"/>
  <c r="J26" i="2"/>
  <c r="I27" i="2"/>
  <c r="I29" i="2" s="1"/>
  <c r="I31" i="2" s="1"/>
  <c r="I103" i="2"/>
  <c r="I53" i="2"/>
  <c r="H52" i="2"/>
  <c r="H54" i="2" s="1"/>
  <c r="H56" i="2" s="1"/>
  <c r="H127" i="2"/>
  <c r="H129" i="2" s="1"/>
  <c r="H133" i="2" s="1"/>
  <c r="I153" i="2"/>
  <c r="H102" i="2"/>
  <c r="H104" i="2" s="1"/>
  <c r="H106" i="2" s="1"/>
  <c r="I78" i="2"/>
  <c r="H152" i="2"/>
  <c r="H154" i="2" s="1"/>
  <c r="H158" i="2" s="1"/>
  <c r="J28" i="2"/>
  <c r="H77" i="2"/>
  <c r="H79" i="2" s="1"/>
  <c r="H81" i="2" s="1"/>
  <c r="I128" i="2"/>
  <c r="J27" i="2" l="1"/>
  <c r="J29" i="2" s="1"/>
  <c r="J31" i="2" s="1"/>
  <c r="I152" i="2"/>
  <c r="I154" i="2"/>
  <c r="I158" i="2" s="1"/>
  <c r="J128" i="2"/>
  <c r="I52" i="2"/>
  <c r="I54" i="2" s="1"/>
  <c r="I56" i="2" s="1"/>
  <c r="I127" i="2"/>
  <c r="I129" i="2" s="1"/>
  <c r="I133" i="2" s="1"/>
  <c r="J78" i="2"/>
  <c r="J103" i="2"/>
  <c r="J153" i="2"/>
  <c r="K28" i="2"/>
  <c r="I77" i="2"/>
  <c r="I79" i="2" s="1"/>
  <c r="I81" i="2" s="1"/>
  <c r="J53" i="2"/>
  <c r="I102" i="2"/>
  <c r="I104" i="2" s="1"/>
  <c r="I106" i="2" s="1"/>
  <c r="K53" i="2" l="1"/>
  <c r="K128" i="2"/>
  <c r="K153" i="2"/>
  <c r="J52" i="2"/>
  <c r="J54" i="2"/>
  <c r="J56" i="2" s="1"/>
  <c r="K27" i="2"/>
  <c r="K29" i="2" s="1"/>
  <c r="K78" i="2"/>
  <c r="J127" i="2"/>
  <c r="J129" i="2" s="1"/>
  <c r="J133" i="2" s="1"/>
  <c r="J102" i="2"/>
  <c r="J104" i="2" s="1"/>
  <c r="J106" i="2" s="1"/>
  <c r="J152" i="2"/>
  <c r="J154" i="2" s="1"/>
  <c r="J158" i="2" s="1"/>
  <c r="K103" i="2"/>
  <c r="J77" i="2"/>
  <c r="J79" i="2" s="1"/>
  <c r="J81" i="2" s="1"/>
  <c r="K31" i="2" l="1"/>
  <c r="L31" i="2" s="1"/>
  <c r="L29" i="2"/>
  <c r="B30" i="2" s="1"/>
  <c r="E2" i="2" s="1"/>
  <c r="K77" i="2"/>
  <c r="K79" i="2" s="1"/>
  <c r="K102" i="2"/>
  <c r="K104" i="2" s="1"/>
  <c r="K152" i="2"/>
  <c r="K154" i="2" s="1"/>
  <c r="K52" i="2"/>
  <c r="K54" i="2" s="1"/>
  <c r="K127" i="2"/>
  <c r="K129" i="2" s="1"/>
  <c r="L79" i="2" l="1"/>
  <c r="B80" i="2" s="1"/>
  <c r="E4" i="2" s="1"/>
  <c r="K81" i="2"/>
  <c r="L81" i="2" s="1"/>
  <c r="L54" i="2"/>
  <c r="B55" i="2" s="1"/>
  <c r="E3" i="2" s="1"/>
  <c r="K56" i="2"/>
  <c r="L56" i="2" s="1"/>
  <c r="L104" i="2"/>
  <c r="B105" i="2" s="1"/>
  <c r="E5" i="2" s="1"/>
  <c r="K106" i="2"/>
  <c r="L106" i="2" s="1"/>
  <c r="K133" i="2"/>
  <c r="L133" i="2" s="1"/>
  <c r="L129" i="2"/>
  <c r="B130" i="2" s="1"/>
  <c r="B132" i="2" s="1"/>
  <c r="K158" i="2"/>
  <c r="L158" i="2" s="1"/>
  <c r="L154" i="2"/>
  <c r="B155" i="2" s="1"/>
  <c r="B157" i="2" s="1"/>
  <c r="J3" i="2" s="1"/>
  <c r="J2" i="2" l="1"/>
  <c r="J8" i="2" s="1"/>
  <c r="E6" i="2"/>
  <c r="E8" i="2" s="1"/>
</calcChain>
</file>

<file path=xl/comments1.xml><?xml version="1.0" encoding="utf-8"?>
<comments xmlns="http://schemas.openxmlformats.org/spreadsheetml/2006/main">
  <authors>
    <author>Russ Coff</author>
  </authors>
  <commentList>
    <comment ref="B15" authorId="0" shapeId="0">
      <text>
        <r>
          <rPr>
            <b/>
            <sz val="9"/>
            <color indexed="81"/>
            <rFont val="Tahoma"/>
            <family val="2"/>
          </rPr>
          <t>Russ Coff:</t>
        </r>
        <r>
          <rPr>
            <sz val="9"/>
            <color indexed="81"/>
            <rFont val="Tahoma"/>
            <family val="2"/>
          </rPr>
          <t xml:space="preserve">
Growth &amp; margin rates at the start of implementation</t>
        </r>
      </text>
    </comment>
    <comment ref="C15" authorId="0" shapeId="0">
      <text>
        <r>
          <rPr>
            <b/>
            <sz val="9"/>
            <color indexed="81"/>
            <rFont val="Tahoma"/>
            <family val="2"/>
          </rPr>
          <t>Russ Coff:</t>
        </r>
        <r>
          <rPr>
            <sz val="9"/>
            <color indexed="81"/>
            <rFont val="Tahoma"/>
            <family val="2"/>
          </rPr>
          <t xml:space="preserve">
These growth &amp; margin rates apply when implementation is complete</t>
        </r>
      </text>
    </comment>
    <comment ref="D15" authorId="0" shapeId="0">
      <text>
        <r>
          <rPr>
            <b/>
            <sz val="9"/>
            <color indexed="81"/>
            <rFont val="Tahoma"/>
            <family val="2"/>
          </rPr>
          <t>Russ Coff:</t>
        </r>
        <r>
          <rPr>
            <sz val="9"/>
            <color indexed="81"/>
            <rFont val="Tahoma"/>
            <family val="2"/>
          </rPr>
          <t xml:space="preserve">
This is the year implementation is complete</t>
        </r>
      </text>
    </comment>
    <comment ref="B40" authorId="0" shapeId="0">
      <text>
        <r>
          <rPr>
            <b/>
            <sz val="9"/>
            <color indexed="81"/>
            <rFont val="Tahoma"/>
            <family val="2"/>
          </rPr>
          <t>Russ Coff:</t>
        </r>
        <r>
          <rPr>
            <sz val="9"/>
            <color indexed="81"/>
            <rFont val="Tahoma"/>
            <family val="2"/>
          </rPr>
          <t xml:space="preserve">
Growth &amp; margin rates at the start of implementation</t>
        </r>
      </text>
    </comment>
    <comment ref="C40" authorId="0" shapeId="0">
      <text>
        <r>
          <rPr>
            <b/>
            <sz val="9"/>
            <color indexed="81"/>
            <rFont val="Tahoma"/>
            <family val="2"/>
          </rPr>
          <t>Russ Coff:</t>
        </r>
        <r>
          <rPr>
            <sz val="9"/>
            <color indexed="81"/>
            <rFont val="Tahoma"/>
            <family val="2"/>
          </rPr>
          <t xml:space="preserve">
These growth &amp; margin rates apply when implementation is complete</t>
        </r>
      </text>
    </comment>
    <comment ref="D40" authorId="0" shapeId="0">
      <text>
        <r>
          <rPr>
            <b/>
            <sz val="9"/>
            <color indexed="81"/>
            <rFont val="Tahoma"/>
            <family val="2"/>
          </rPr>
          <t>Russ Coff:</t>
        </r>
        <r>
          <rPr>
            <sz val="9"/>
            <color indexed="81"/>
            <rFont val="Tahoma"/>
            <family val="2"/>
          </rPr>
          <t xml:space="preserve">
This is the year implementation is complete</t>
        </r>
      </text>
    </comment>
    <comment ref="B65" authorId="0" shapeId="0">
      <text>
        <r>
          <rPr>
            <b/>
            <sz val="9"/>
            <color indexed="81"/>
            <rFont val="Tahoma"/>
            <family val="2"/>
          </rPr>
          <t>Russ Coff:</t>
        </r>
        <r>
          <rPr>
            <sz val="9"/>
            <color indexed="81"/>
            <rFont val="Tahoma"/>
            <family val="2"/>
          </rPr>
          <t xml:space="preserve">
Growth &amp; margin rates at the start of implementation</t>
        </r>
      </text>
    </comment>
    <comment ref="C65" authorId="0" shapeId="0">
      <text>
        <r>
          <rPr>
            <b/>
            <sz val="9"/>
            <color indexed="81"/>
            <rFont val="Tahoma"/>
            <family val="2"/>
          </rPr>
          <t>Russ Coff:</t>
        </r>
        <r>
          <rPr>
            <sz val="9"/>
            <color indexed="81"/>
            <rFont val="Tahoma"/>
            <family val="2"/>
          </rPr>
          <t xml:space="preserve">
These growth &amp; margin rates apply when implementation is complete</t>
        </r>
      </text>
    </comment>
    <comment ref="D65" authorId="0" shapeId="0">
      <text>
        <r>
          <rPr>
            <b/>
            <sz val="9"/>
            <color indexed="81"/>
            <rFont val="Tahoma"/>
            <family val="2"/>
          </rPr>
          <t>Russ Coff:</t>
        </r>
        <r>
          <rPr>
            <sz val="9"/>
            <color indexed="81"/>
            <rFont val="Tahoma"/>
            <family val="2"/>
          </rPr>
          <t xml:space="preserve">
This is the year implementation is complete</t>
        </r>
      </text>
    </comment>
    <comment ref="B90" authorId="0" shapeId="0">
      <text>
        <r>
          <rPr>
            <b/>
            <sz val="9"/>
            <color indexed="81"/>
            <rFont val="Tahoma"/>
            <family val="2"/>
          </rPr>
          <t>Russ Coff:</t>
        </r>
        <r>
          <rPr>
            <sz val="9"/>
            <color indexed="81"/>
            <rFont val="Tahoma"/>
            <family val="2"/>
          </rPr>
          <t xml:space="preserve">
Growth &amp; margin rates at the start of implementation</t>
        </r>
      </text>
    </comment>
    <comment ref="C90" authorId="0" shapeId="0">
      <text>
        <r>
          <rPr>
            <b/>
            <sz val="9"/>
            <color indexed="81"/>
            <rFont val="Tahoma"/>
            <family val="2"/>
          </rPr>
          <t>Russ Coff:</t>
        </r>
        <r>
          <rPr>
            <sz val="9"/>
            <color indexed="81"/>
            <rFont val="Tahoma"/>
            <family val="2"/>
          </rPr>
          <t xml:space="preserve">
These growth &amp; margin rates apply when implementation is complete</t>
        </r>
      </text>
    </comment>
    <comment ref="D90" authorId="0" shapeId="0">
      <text>
        <r>
          <rPr>
            <b/>
            <sz val="9"/>
            <color indexed="81"/>
            <rFont val="Tahoma"/>
            <family val="2"/>
          </rPr>
          <t>Russ Coff:</t>
        </r>
        <r>
          <rPr>
            <sz val="9"/>
            <color indexed="81"/>
            <rFont val="Tahoma"/>
            <family val="2"/>
          </rPr>
          <t xml:space="preserve">
This is the year implementation is complete</t>
        </r>
      </text>
    </comment>
    <comment ref="B115" authorId="0" shapeId="0">
      <text>
        <r>
          <rPr>
            <b/>
            <sz val="9"/>
            <color indexed="81"/>
            <rFont val="Tahoma"/>
            <family val="2"/>
          </rPr>
          <t>Russ Coff:</t>
        </r>
        <r>
          <rPr>
            <sz val="9"/>
            <color indexed="81"/>
            <rFont val="Tahoma"/>
            <family val="2"/>
          </rPr>
          <t xml:space="preserve">
Growth &amp; margin rates at the start of implementation</t>
        </r>
      </text>
    </comment>
    <comment ref="C115" authorId="0" shapeId="0">
      <text>
        <r>
          <rPr>
            <b/>
            <sz val="9"/>
            <color indexed="81"/>
            <rFont val="Tahoma"/>
            <family val="2"/>
          </rPr>
          <t>Russ Coff:</t>
        </r>
        <r>
          <rPr>
            <sz val="9"/>
            <color indexed="81"/>
            <rFont val="Tahoma"/>
            <family val="2"/>
          </rPr>
          <t xml:space="preserve">
These growth &amp; margin rates apply when implementation is complete</t>
        </r>
      </text>
    </comment>
    <comment ref="D115" authorId="0" shapeId="0">
      <text>
        <r>
          <rPr>
            <b/>
            <sz val="9"/>
            <color indexed="81"/>
            <rFont val="Tahoma"/>
            <family val="2"/>
          </rPr>
          <t>Russ Coff:</t>
        </r>
        <r>
          <rPr>
            <sz val="9"/>
            <color indexed="81"/>
            <rFont val="Tahoma"/>
            <family val="2"/>
          </rPr>
          <t xml:space="preserve">
This is the year implementation is complete</t>
        </r>
      </text>
    </comment>
    <comment ref="B140" authorId="0" shapeId="0">
      <text>
        <r>
          <rPr>
            <b/>
            <sz val="9"/>
            <color indexed="81"/>
            <rFont val="Tahoma"/>
            <family val="2"/>
          </rPr>
          <t>Russ Coff:</t>
        </r>
        <r>
          <rPr>
            <sz val="9"/>
            <color indexed="81"/>
            <rFont val="Tahoma"/>
            <family val="2"/>
          </rPr>
          <t xml:space="preserve">
Growth &amp; margin rates at the start of implementation</t>
        </r>
      </text>
    </comment>
    <comment ref="C140" authorId="0" shapeId="0">
      <text>
        <r>
          <rPr>
            <b/>
            <sz val="9"/>
            <color indexed="81"/>
            <rFont val="Tahoma"/>
            <family val="2"/>
          </rPr>
          <t>Russ Coff:</t>
        </r>
        <r>
          <rPr>
            <sz val="9"/>
            <color indexed="81"/>
            <rFont val="Tahoma"/>
            <family val="2"/>
          </rPr>
          <t xml:space="preserve">
These growth &amp; margin rates apply when implementation is complete</t>
        </r>
      </text>
    </comment>
    <comment ref="D140" authorId="0" shapeId="0">
      <text>
        <r>
          <rPr>
            <b/>
            <sz val="9"/>
            <color indexed="81"/>
            <rFont val="Tahoma"/>
            <family val="2"/>
          </rPr>
          <t>Russ Coff:</t>
        </r>
        <r>
          <rPr>
            <sz val="9"/>
            <color indexed="81"/>
            <rFont val="Tahoma"/>
            <family val="2"/>
          </rPr>
          <t xml:space="preserve">
This is the year implementation is complete</t>
        </r>
      </text>
    </comment>
  </commentList>
</comments>
</file>

<file path=xl/sharedStrings.xml><?xml version="1.0" encoding="utf-8"?>
<sst xmlns="http://schemas.openxmlformats.org/spreadsheetml/2006/main" count="179" uniqueCount="51">
  <si>
    <t>Revenue</t>
  </si>
  <si>
    <t>Depreciation/Amort</t>
  </si>
  <si>
    <t>Taxes</t>
  </si>
  <si>
    <t>Cash flows</t>
  </si>
  <si>
    <t>NPV</t>
  </si>
  <si>
    <t>Revenue Growth</t>
  </si>
  <si>
    <t>WACC</t>
  </si>
  <si>
    <t>Terminal Growth rate</t>
  </si>
  <si>
    <t>Operating Income</t>
  </si>
  <si>
    <t>Operating Inc Mgn</t>
  </si>
  <si>
    <t>Tax rate</t>
  </si>
  <si>
    <t>Assumptions</t>
  </si>
  <si>
    <t>Terminal</t>
  </si>
  <si>
    <t>Initial</t>
  </si>
  <si>
    <t>--Post Implement--</t>
  </si>
  <si>
    <t>Prob</t>
  </si>
  <si>
    <t>When(yr)</t>
  </si>
  <si>
    <t>Later</t>
  </si>
  <si>
    <t>Initial Revenue</t>
  </si>
  <si>
    <t>Depreciation % Sales</t>
  </si>
  <si>
    <t>Cash Flow % of sales</t>
  </si>
  <si>
    <t>Startup Cost</t>
  </si>
  <si>
    <t>Amazon Initial Aid</t>
  </si>
  <si>
    <t>Amazon DSP Tree</t>
  </si>
  <si>
    <t>2. Worst case: Amazon competes; Implementation snafus</t>
  </si>
  <si>
    <t>3. Mid case: Amazon competes; Smooth implementation</t>
  </si>
  <si>
    <t>DSP Valuation as of 2019</t>
  </si>
  <si>
    <t>Scenarios (for Amazon DSP program)</t>
  </si>
  <si>
    <t>Scenarios (for FedEx Alternative)</t>
  </si>
  <si>
    <t>Overarching Assumptions:</t>
  </si>
  <si>
    <t xml:space="preserve">  Expected value created:</t>
  </si>
  <si>
    <t>1. Best case: High Amazon help; Smooth implementation</t>
  </si>
  <si>
    <t>4. Mid case: High Amazon help; Implementation snafus</t>
  </si>
  <si>
    <t>5. Buy FedEx route: Low</t>
  </si>
  <si>
    <t>Purchase Price</t>
  </si>
  <si>
    <t>Net Gain</t>
  </si>
  <si>
    <t>6. Buy FedEx route: High</t>
  </si>
  <si>
    <t>FedEx Routes for Sale</t>
  </si>
  <si>
    <t>Cash Flow</t>
  </si>
  <si>
    <t>Routes</t>
  </si>
  <si>
    <t>Trucks</t>
  </si>
  <si>
    <t>Rev/Truck</t>
  </si>
  <si>
    <t>Mgn</t>
  </si>
  <si>
    <t>Price</t>
  </si>
  <si>
    <t>Price/Rev</t>
  </si>
  <si>
    <t>Milwaukee</t>
  </si>
  <si>
    <t>Missouri</t>
  </si>
  <si>
    <t>Denver</t>
  </si>
  <si>
    <t>Montrose</t>
  </si>
  <si>
    <t>St. Louis</t>
  </si>
  <si>
    <t xml:space="preserve">St. Louis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</si>
</sst>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5" formatCode="&quot;$&quot;#,##0_);\(&quot;$&quot;#,##0\)"/>
    <numFmt numFmtId="6" formatCode="&quot;$&quot;#,##0_);[Red]\(&quot;$&quot;#,##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0.0%"/>
    <numFmt numFmtId="165" formatCode="&quot;$&quot;#,##0.0"/>
    <numFmt numFmtId="166" formatCode="&quot;$&quot;#,##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0.5"/>
      <color theme="1"/>
      <name val="Calibri"/>
      <family val="2"/>
      <scheme val="minor"/>
    </font>
    <font>
      <b/>
      <sz val="11"/>
      <color theme="0" tint="-4.9989318521683403E-2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7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23">
    <xf numFmtId="0" fontId="0" fillId="0" borderId="0" xfId="0"/>
    <xf numFmtId="164" fontId="0" fillId="0" borderId="0" xfId="0" applyNumberFormat="1"/>
    <xf numFmtId="165" fontId="0" fillId="0" borderId="0" xfId="0" applyNumberFormat="1"/>
    <xf numFmtId="10" fontId="0" fillId="0" borderId="0" xfId="0" applyNumberForma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2" fillId="0" borderId="0" xfId="0" applyFont="1" applyAlignment="1">
      <alignment horizontal="right"/>
    </xf>
    <xf numFmtId="166" fontId="0" fillId="0" borderId="0" xfId="0" applyNumberFormat="1"/>
    <xf numFmtId="0" fontId="3" fillId="0" borderId="0" xfId="0" applyFont="1" applyAlignment="1">
      <alignment horizontal="right"/>
    </xf>
    <xf numFmtId="0" fontId="1" fillId="0" borderId="0" xfId="0" quotePrefix="1" applyFont="1" applyAlignment="1">
      <alignment horizontal="centerContinuous"/>
    </xf>
    <xf numFmtId="0" fontId="0" fillId="0" borderId="0" xfId="0" applyAlignment="1">
      <alignment horizontal="centerContinuous"/>
    </xf>
    <xf numFmtId="0" fontId="1" fillId="2" borderId="1" xfId="0" applyFont="1" applyFill="1" applyBorder="1"/>
    <xf numFmtId="0" fontId="0" fillId="2" borderId="1" xfId="0" applyFill="1" applyBorder="1"/>
    <xf numFmtId="6" fontId="3" fillId="0" borderId="0" xfId="0" applyNumberFormat="1" applyFont="1"/>
    <xf numFmtId="0" fontId="5" fillId="0" borderId="0" xfId="0" applyFont="1" applyAlignment="1">
      <alignment horizontal="right"/>
    </xf>
    <xf numFmtId="166" fontId="8" fillId="0" borderId="0" xfId="0" applyNumberFormat="1" applyFont="1"/>
    <xf numFmtId="0" fontId="10" fillId="0" borderId="0" xfId="2" applyFont="1"/>
    <xf numFmtId="42" fontId="8" fillId="0" borderId="0" xfId="1" applyNumberFormat="1" applyFont="1"/>
    <xf numFmtId="42" fontId="0" fillId="0" borderId="0" xfId="1" applyNumberFormat="1" applyFont="1"/>
    <xf numFmtId="5" fontId="0" fillId="0" borderId="0" xfId="1" applyNumberFormat="1" applyFont="1"/>
    <xf numFmtId="42" fontId="11" fillId="0" borderId="0" xfId="1" applyNumberFormat="1" applyFont="1"/>
    <xf numFmtId="0" fontId="6" fillId="3" borderId="0" xfId="0" applyFont="1" applyFill="1" applyAlignment="1">
      <alignment horizontal="centerContinuous"/>
    </xf>
  </cellXfs>
  <cellStyles count="3">
    <cellStyle name="Currency" xfId="1" builtinId="4"/>
    <cellStyle name="Hyperlink" xfId="2" builtinId="8"/>
    <cellStyle name="Normal" xfId="0" builtinId="0"/>
  </cellStyles>
  <dxfs count="6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9E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routeconsultant.com/route-listings" TargetMode="Externa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178"/>
  <sheetViews>
    <sheetView showGridLines="0" tabSelected="1" workbookViewId="0">
      <selection activeCell="B16" sqref="B16"/>
    </sheetView>
  </sheetViews>
  <sheetFormatPr defaultRowHeight="14.4" x14ac:dyDescent="0.3"/>
  <cols>
    <col min="1" max="1" width="17.33203125" customWidth="1"/>
    <col min="2" max="2" width="11.109375" customWidth="1"/>
    <col min="3" max="11" width="10.109375" customWidth="1"/>
    <col min="12" max="12" width="10.77734375" customWidth="1"/>
    <col min="13" max="13" width="8.5546875" customWidth="1"/>
    <col min="14" max="14" width="9.33203125" customWidth="1"/>
    <col min="17" max="17" width="14.44140625" bestFit="1" customWidth="1"/>
    <col min="18" max="18" width="9.77734375" customWidth="1"/>
    <col min="21" max="21" width="9.88671875" customWidth="1"/>
    <col min="22" max="22" width="9.77734375" customWidth="1"/>
  </cols>
  <sheetData>
    <row r="1" spans="1:22" x14ac:dyDescent="0.3">
      <c r="A1" s="5" t="s">
        <v>27</v>
      </c>
      <c r="E1" s="9" t="s">
        <v>4</v>
      </c>
      <c r="F1" s="9" t="s">
        <v>15</v>
      </c>
      <c r="H1" s="5" t="s">
        <v>28</v>
      </c>
      <c r="K1" s="9" t="s">
        <v>15</v>
      </c>
      <c r="M1" s="4" t="s">
        <v>29</v>
      </c>
    </row>
    <row r="2" spans="1:22" x14ac:dyDescent="0.3">
      <c r="A2" t="str">
        <f>A12</f>
        <v>1. Best case: High Amazon help; Smooth implementation</v>
      </c>
      <c r="E2" s="16">
        <f>B30</f>
        <v>7702071.93080239</v>
      </c>
      <c r="F2" s="1">
        <v>0.25</v>
      </c>
      <c r="H2" t="str">
        <f>A112</f>
        <v>5. Buy FedEx route: Low</v>
      </c>
      <c r="J2" s="8">
        <f>B132</f>
        <v>2914162.8708664584</v>
      </c>
      <c r="K2" s="1">
        <v>0.45</v>
      </c>
      <c r="M2" t="s">
        <v>19</v>
      </c>
      <c r="O2" s="1">
        <v>5.0000000000000001E-3</v>
      </c>
      <c r="U2" s="8"/>
    </row>
    <row r="3" spans="1:22" x14ac:dyDescent="0.3">
      <c r="A3" t="str">
        <f>A37</f>
        <v>2. Worst case: Amazon competes; Implementation snafus</v>
      </c>
      <c r="E3" s="16">
        <f>B55</f>
        <v>7702071.93080239</v>
      </c>
      <c r="F3" s="1">
        <v>0.2</v>
      </c>
      <c r="H3" t="str">
        <f>A137</f>
        <v>6. Buy FedEx route: High</v>
      </c>
      <c r="J3" s="8">
        <f>B157</f>
        <v>4115679.5254857661</v>
      </c>
      <c r="K3" s="1">
        <v>0.55000000000000004</v>
      </c>
      <c r="M3" t="s">
        <v>10</v>
      </c>
      <c r="O3" s="1">
        <v>0.3</v>
      </c>
      <c r="U3" s="8"/>
    </row>
    <row r="4" spans="1:22" x14ac:dyDescent="0.3">
      <c r="A4" t="str">
        <f>A62</f>
        <v>3. Mid case: Amazon competes; Smooth implementation</v>
      </c>
      <c r="E4" s="16">
        <f>B80</f>
        <v>7702071.93080239</v>
      </c>
      <c r="F4" s="1">
        <v>0.35</v>
      </c>
      <c r="K4" s="1"/>
      <c r="M4" t="s">
        <v>6</v>
      </c>
      <c r="O4" s="1">
        <v>5.5E-2</v>
      </c>
      <c r="U4" s="8"/>
    </row>
    <row r="5" spans="1:22" x14ac:dyDescent="0.3">
      <c r="A5" t="str">
        <f>A87</f>
        <v>4. Mid case: High Amazon help; Implementation snafus</v>
      </c>
      <c r="E5" s="16">
        <f>B105</f>
        <v>7702071.93080239</v>
      </c>
      <c r="F5" s="1">
        <v>0.2</v>
      </c>
      <c r="K5" s="1"/>
      <c r="M5" t="s">
        <v>7</v>
      </c>
      <c r="O5" s="1">
        <v>0.01</v>
      </c>
      <c r="U5" s="8"/>
    </row>
    <row r="6" spans="1:22" x14ac:dyDescent="0.3">
      <c r="E6" s="16">
        <f>B132</f>
        <v>2914162.8708664584</v>
      </c>
      <c r="F6" s="1">
        <v>0</v>
      </c>
      <c r="K6" s="1"/>
      <c r="U6" s="8"/>
    </row>
    <row r="7" spans="1:22" x14ac:dyDescent="0.3">
      <c r="E7" s="16"/>
      <c r="F7" s="1"/>
      <c r="K7" s="1"/>
    </row>
    <row r="8" spans="1:22" x14ac:dyDescent="0.3">
      <c r="A8" t="s">
        <v>30</v>
      </c>
      <c r="E8" s="8">
        <f>IF(F8=1,E2*F2+E3*F3+E4*F4+E5*F5+E6*F6)</f>
        <v>7702071.93080239</v>
      </c>
      <c r="F8" s="1">
        <f>SUM(F2:F6)</f>
        <v>1</v>
      </c>
      <c r="H8" t="s">
        <v>30</v>
      </c>
      <c r="J8" s="8">
        <f>J2*K2+J3*K3</f>
        <v>3574997.0309070777</v>
      </c>
      <c r="K8" s="1">
        <f>SUM(K2:K6)</f>
        <v>1</v>
      </c>
    </row>
    <row r="9" spans="1:22" x14ac:dyDescent="0.3">
      <c r="E9" s="8"/>
      <c r="U9" s="1"/>
    </row>
    <row r="10" spans="1:22" x14ac:dyDescent="0.3">
      <c r="A10" s="4"/>
      <c r="B10" s="4"/>
      <c r="C10" s="4"/>
      <c r="D10" s="4"/>
      <c r="E10" s="14"/>
      <c r="U10" s="1"/>
    </row>
    <row r="11" spans="1:22" x14ac:dyDescent="0.3">
      <c r="V11" s="8"/>
    </row>
    <row r="12" spans="1:22" x14ac:dyDescent="0.3">
      <c r="A12" s="12" t="s">
        <v>31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V12" s="8"/>
    </row>
    <row r="14" spans="1:22" x14ac:dyDescent="0.3">
      <c r="C14" s="10" t="s">
        <v>14</v>
      </c>
      <c r="D14" s="11"/>
      <c r="F14" s="10"/>
      <c r="G14" s="11"/>
      <c r="H14" s="11"/>
    </row>
    <row r="15" spans="1:22" x14ac:dyDescent="0.3">
      <c r="A15" s="4" t="s">
        <v>11</v>
      </c>
      <c r="B15" s="9" t="s">
        <v>13</v>
      </c>
      <c r="C15" s="9" t="s">
        <v>17</v>
      </c>
      <c r="D15" s="15" t="s">
        <v>16</v>
      </c>
      <c r="F15" s="7"/>
      <c r="G15" s="7"/>
      <c r="I15" s="7"/>
      <c r="J15" s="7"/>
      <c r="K15" s="7"/>
    </row>
    <row r="16" spans="1:22" x14ac:dyDescent="0.3">
      <c r="A16" t="s">
        <v>9</v>
      </c>
      <c r="B16" s="1">
        <v>0.06</v>
      </c>
      <c r="C16" s="1">
        <v>8.5000000000000006E-2</v>
      </c>
      <c r="D16">
        <v>2023</v>
      </c>
      <c r="F16" s="1"/>
      <c r="G16" t="s">
        <v>19</v>
      </c>
      <c r="I16" s="1">
        <f>O$2</f>
        <v>5.0000000000000001E-3</v>
      </c>
    </row>
    <row r="17" spans="1:17" x14ac:dyDescent="0.3">
      <c r="A17" t="s">
        <v>5</v>
      </c>
      <c r="B17" s="1">
        <v>0.5</v>
      </c>
      <c r="C17" s="1">
        <v>0.1</v>
      </c>
      <c r="D17">
        <v>2023</v>
      </c>
      <c r="F17" s="1"/>
      <c r="G17" t="s">
        <v>10</v>
      </c>
      <c r="I17" s="1">
        <f>O$3</f>
        <v>0.3</v>
      </c>
    </row>
    <row r="18" spans="1:17" x14ac:dyDescent="0.3">
      <c r="A18" t="s">
        <v>18</v>
      </c>
      <c r="B18" s="8">
        <v>1600000</v>
      </c>
      <c r="C18" s="1"/>
      <c r="F18" s="1"/>
      <c r="G18" t="s">
        <v>6</v>
      </c>
      <c r="I18" s="1">
        <f>O$4</f>
        <v>5.5E-2</v>
      </c>
    </row>
    <row r="19" spans="1:17" x14ac:dyDescent="0.3">
      <c r="A19" t="s">
        <v>21</v>
      </c>
      <c r="B19" s="8">
        <v>100000</v>
      </c>
      <c r="C19" s="1"/>
      <c r="F19" s="1"/>
      <c r="G19" t="s">
        <v>7</v>
      </c>
      <c r="I19" s="1">
        <f>O$5</f>
        <v>0.01</v>
      </c>
    </row>
    <row r="20" spans="1:17" x14ac:dyDescent="0.3">
      <c r="A20" t="s">
        <v>22</v>
      </c>
      <c r="B20" s="8">
        <v>50000</v>
      </c>
      <c r="Q20" s="8"/>
    </row>
    <row r="21" spans="1:17" x14ac:dyDescent="0.3">
      <c r="Q21" s="8"/>
    </row>
    <row r="22" spans="1:17" x14ac:dyDescent="0.3">
      <c r="C22" s="1"/>
      <c r="Q22" s="8"/>
    </row>
    <row r="23" spans="1:17" x14ac:dyDescent="0.3">
      <c r="A23" s="4" t="s">
        <v>26</v>
      </c>
      <c r="Q23" s="3"/>
    </row>
    <row r="24" spans="1:17" x14ac:dyDescent="0.3">
      <c r="A24" s="6"/>
      <c r="B24" s="5">
        <v>2019</v>
      </c>
      <c r="C24" s="5">
        <f>B24+1</f>
        <v>2020</v>
      </c>
      <c r="D24" s="5">
        <f t="shared" ref="D24:K24" si="0">C24+1</f>
        <v>2021</v>
      </c>
      <c r="E24" s="5">
        <f t="shared" si="0"/>
        <v>2022</v>
      </c>
      <c r="F24" s="5">
        <f t="shared" si="0"/>
        <v>2023</v>
      </c>
      <c r="G24" s="5">
        <f t="shared" si="0"/>
        <v>2024</v>
      </c>
      <c r="H24" s="5">
        <f t="shared" si="0"/>
        <v>2025</v>
      </c>
      <c r="I24" s="5">
        <f t="shared" si="0"/>
        <v>2026</v>
      </c>
      <c r="J24" s="5">
        <f t="shared" si="0"/>
        <v>2027</v>
      </c>
      <c r="K24" s="5">
        <f t="shared" si="0"/>
        <v>2028</v>
      </c>
      <c r="L24" s="9" t="s">
        <v>12</v>
      </c>
    </row>
    <row r="25" spans="1:17" x14ac:dyDescent="0.3">
      <c r="A25" t="s">
        <v>0</v>
      </c>
      <c r="B25" s="8">
        <f>B18</f>
        <v>1600000</v>
      </c>
      <c r="C25" s="8">
        <f>B25*(1+IF(C24&gt;$D17-1,$C17,$B17-(($B17-$C17)/($D17-$B24-1))*(B24-$B24)))</f>
        <v>2400000</v>
      </c>
      <c r="D25" s="8">
        <f t="shared" ref="D25:K25" si="1">C25*(1+IF(D24&gt;$D17-1,$C17,$B17-(($B17-$C17)/($D17-$B24-1))*(C24-$B24)))</f>
        <v>3280000</v>
      </c>
      <c r="E25" s="8">
        <f t="shared" si="1"/>
        <v>4045333.3333333335</v>
      </c>
      <c r="F25" s="8">
        <f t="shared" si="1"/>
        <v>4449866.666666667</v>
      </c>
      <c r="G25" s="8">
        <f t="shared" si="1"/>
        <v>4894853.333333334</v>
      </c>
      <c r="H25" s="8">
        <f t="shared" si="1"/>
        <v>5384338.6666666679</v>
      </c>
      <c r="I25" s="8">
        <f t="shared" si="1"/>
        <v>5922772.5333333351</v>
      </c>
      <c r="J25" s="8">
        <f t="shared" si="1"/>
        <v>6515049.786666669</v>
      </c>
      <c r="K25" s="8">
        <f t="shared" si="1"/>
        <v>7166554.7653333368</v>
      </c>
      <c r="L25" s="8"/>
    </row>
    <row r="26" spans="1:17" x14ac:dyDescent="0.3">
      <c r="A26" t="s">
        <v>8</v>
      </c>
      <c r="B26" s="8">
        <f>B25*IF(B24&gt;$D16-1,$C16,$B16)-B19+B20</f>
        <v>46000</v>
      </c>
      <c r="C26" s="8">
        <f>C25*IF(C24&gt;$D16-1,$C16,$B16-(($B16-$C16)/($D16-$B24-1))*(B24-$B24))</f>
        <v>144000</v>
      </c>
      <c r="D26" s="8">
        <f t="shared" ref="D26:K26" si="2">D25*IF(D24&gt;$D16-1,$C16,$B16-(($B16-$C16)/($D16-$B24-1))*(C24-$B24))</f>
        <v>224133.33333333331</v>
      </c>
      <c r="E26" s="8">
        <f t="shared" si="2"/>
        <v>310142.22222222225</v>
      </c>
      <c r="F26" s="8">
        <f t="shared" si="2"/>
        <v>378238.66666666674</v>
      </c>
      <c r="G26" s="8">
        <f t="shared" si="2"/>
        <v>416062.53333333344</v>
      </c>
      <c r="H26" s="8">
        <f t="shared" si="2"/>
        <v>457668.7866666668</v>
      </c>
      <c r="I26" s="8">
        <f t="shared" si="2"/>
        <v>503435.66533333354</v>
      </c>
      <c r="J26" s="8">
        <f t="shared" si="2"/>
        <v>553779.23186666693</v>
      </c>
      <c r="K26" s="8">
        <f t="shared" si="2"/>
        <v>609157.15505333361</v>
      </c>
      <c r="L26" s="8"/>
    </row>
    <row r="27" spans="1:17" x14ac:dyDescent="0.3">
      <c r="A27" t="s">
        <v>2</v>
      </c>
      <c r="B27" s="8">
        <f t="shared" ref="B27:K27" si="3">B26*$I17</f>
        <v>13800</v>
      </c>
      <c r="C27" s="8">
        <f t="shared" si="3"/>
        <v>43200</v>
      </c>
      <c r="D27" s="8">
        <f t="shared" si="3"/>
        <v>67239.999999999985</v>
      </c>
      <c r="E27" s="8">
        <f t="shared" si="3"/>
        <v>93042.666666666672</v>
      </c>
      <c r="F27" s="8">
        <f t="shared" si="3"/>
        <v>113471.60000000002</v>
      </c>
      <c r="G27" s="8">
        <f t="shared" si="3"/>
        <v>124818.76000000002</v>
      </c>
      <c r="H27" s="8">
        <f t="shared" si="3"/>
        <v>137300.63600000003</v>
      </c>
      <c r="I27" s="8">
        <f t="shared" si="3"/>
        <v>151030.69960000005</v>
      </c>
      <c r="J27" s="8">
        <f t="shared" si="3"/>
        <v>166133.76956000007</v>
      </c>
      <c r="K27" s="8">
        <f t="shared" si="3"/>
        <v>182747.14651600007</v>
      </c>
      <c r="L27" s="8"/>
    </row>
    <row r="28" spans="1:17" x14ac:dyDescent="0.3">
      <c r="A28" t="s">
        <v>1</v>
      </c>
      <c r="B28" s="8">
        <f t="shared" ref="B28:K28" si="4">B25*$I16</f>
        <v>8000</v>
      </c>
      <c r="C28" s="8">
        <f t="shared" si="4"/>
        <v>12000</v>
      </c>
      <c r="D28" s="8">
        <f t="shared" si="4"/>
        <v>16400</v>
      </c>
      <c r="E28" s="8">
        <f t="shared" si="4"/>
        <v>20226.666666666668</v>
      </c>
      <c r="F28" s="8">
        <f t="shared" si="4"/>
        <v>22249.333333333336</v>
      </c>
      <c r="G28" s="8">
        <f t="shared" si="4"/>
        <v>24474.26666666667</v>
      </c>
      <c r="H28" s="8">
        <f t="shared" si="4"/>
        <v>26921.69333333334</v>
      </c>
      <c r="I28" s="8">
        <f t="shared" si="4"/>
        <v>29613.862666666675</v>
      </c>
      <c r="J28" s="8">
        <f t="shared" si="4"/>
        <v>32575.248933333347</v>
      </c>
      <c r="K28" s="8">
        <f t="shared" si="4"/>
        <v>35832.773826666686</v>
      </c>
      <c r="L28" s="8"/>
    </row>
    <row r="29" spans="1:17" x14ac:dyDescent="0.3">
      <c r="A29" t="s">
        <v>3</v>
      </c>
      <c r="B29" s="8">
        <f>B26-B27+B28</f>
        <v>40200</v>
      </c>
      <c r="C29" s="8">
        <f t="shared" ref="C29:K29" si="5">C26-C27+C28</f>
        <v>112800</v>
      </c>
      <c r="D29" s="8">
        <f t="shared" si="5"/>
        <v>173293.33333333331</v>
      </c>
      <c r="E29" s="8">
        <f t="shared" si="5"/>
        <v>237326.22222222222</v>
      </c>
      <c r="F29" s="8">
        <f t="shared" si="5"/>
        <v>287016.40000000002</v>
      </c>
      <c r="G29" s="8">
        <f t="shared" si="5"/>
        <v>315718.0400000001</v>
      </c>
      <c r="H29" s="8">
        <f t="shared" si="5"/>
        <v>347289.84400000016</v>
      </c>
      <c r="I29" s="8">
        <f t="shared" si="5"/>
        <v>382018.82840000017</v>
      </c>
      <c r="J29" s="8">
        <f t="shared" si="5"/>
        <v>420220.71124000021</v>
      </c>
      <c r="K29" s="8">
        <f t="shared" si="5"/>
        <v>462242.78236400028</v>
      </c>
      <c r="L29" s="8">
        <f>(K29*(1+$I19))/($I18-$I19)</f>
        <v>10374782.448614229</v>
      </c>
    </row>
    <row r="30" spans="1:17" x14ac:dyDescent="0.3">
      <c r="A30" t="s">
        <v>4</v>
      </c>
      <c r="B30" s="8">
        <f>NPV(I18,B29:L29)</f>
        <v>7702071.93080239</v>
      </c>
      <c r="C30" s="2"/>
      <c r="D30" s="2"/>
      <c r="E30" s="2"/>
      <c r="F30" s="2"/>
    </row>
    <row r="31" spans="1:17" x14ac:dyDescent="0.3">
      <c r="A31" t="s">
        <v>20</v>
      </c>
      <c r="B31" s="1">
        <f>B29/B25</f>
        <v>2.5125000000000001E-2</v>
      </c>
      <c r="C31" s="1">
        <f>C29/C25</f>
        <v>4.7E-2</v>
      </c>
      <c r="D31" s="1">
        <f>D29/D25</f>
        <v>5.2833333333333329E-2</v>
      </c>
      <c r="E31" s="1">
        <f t="shared" ref="E31:K31" si="6">E29/E25</f>
        <v>5.8666666666666666E-2</v>
      </c>
      <c r="F31" s="1">
        <f t="shared" si="6"/>
        <v>6.4500000000000002E-2</v>
      </c>
      <c r="G31" s="1">
        <f t="shared" si="6"/>
        <v>6.4500000000000016E-2</v>
      </c>
      <c r="H31" s="1">
        <f t="shared" si="6"/>
        <v>6.4500000000000016E-2</v>
      </c>
      <c r="I31" s="1">
        <f t="shared" si="6"/>
        <v>6.4500000000000016E-2</v>
      </c>
      <c r="J31" s="1">
        <f t="shared" si="6"/>
        <v>6.4500000000000016E-2</v>
      </c>
      <c r="K31" s="1">
        <f t="shared" si="6"/>
        <v>6.4500000000000002E-2</v>
      </c>
      <c r="L31" s="1">
        <f>AVERAGE(B31:K31)</f>
        <v>5.7062500000000002E-2</v>
      </c>
    </row>
    <row r="32" spans="1:17" x14ac:dyDescent="0.3">
      <c r="B32" s="8"/>
    </row>
    <row r="33" spans="1:12" x14ac:dyDescent="0.3">
      <c r="B33" s="8"/>
    </row>
    <row r="34" spans="1:12" x14ac:dyDescent="0.3">
      <c r="B34" s="8"/>
    </row>
    <row r="37" spans="1:12" x14ac:dyDescent="0.3">
      <c r="A37" s="12" t="s">
        <v>24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</row>
    <row r="39" spans="1:12" x14ac:dyDescent="0.3">
      <c r="C39" s="10" t="s">
        <v>14</v>
      </c>
      <c r="D39" s="11"/>
      <c r="F39" s="10"/>
      <c r="G39" s="11"/>
      <c r="H39" s="11"/>
    </row>
    <row r="40" spans="1:12" x14ac:dyDescent="0.3">
      <c r="A40" s="4" t="s">
        <v>11</v>
      </c>
      <c r="B40" s="9" t="s">
        <v>13</v>
      </c>
      <c r="C40" s="9" t="s">
        <v>17</v>
      </c>
      <c r="D40" s="15" t="s">
        <v>16</v>
      </c>
      <c r="F40" s="7"/>
      <c r="G40" s="7"/>
      <c r="I40" s="7"/>
      <c r="J40" s="7"/>
      <c r="K40" s="7"/>
    </row>
    <row r="41" spans="1:12" x14ac:dyDescent="0.3">
      <c r="A41" t="s">
        <v>9</v>
      </c>
      <c r="B41" s="1">
        <v>0.06</v>
      </c>
      <c r="C41" s="1">
        <v>8.5000000000000006E-2</v>
      </c>
      <c r="D41">
        <v>2023</v>
      </c>
      <c r="F41" s="1"/>
      <c r="G41" t="s">
        <v>19</v>
      </c>
      <c r="I41" s="1">
        <f>O$2</f>
        <v>5.0000000000000001E-3</v>
      </c>
    </row>
    <row r="42" spans="1:12" x14ac:dyDescent="0.3">
      <c r="A42" t="s">
        <v>5</v>
      </c>
      <c r="B42" s="1">
        <v>0.5</v>
      </c>
      <c r="C42" s="1">
        <v>0.1</v>
      </c>
      <c r="D42">
        <v>2023</v>
      </c>
      <c r="F42" s="1"/>
      <c r="G42" t="s">
        <v>10</v>
      </c>
      <c r="I42" s="1">
        <f>O$3</f>
        <v>0.3</v>
      </c>
    </row>
    <row r="43" spans="1:12" x14ac:dyDescent="0.3">
      <c r="A43" t="s">
        <v>18</v>
      </c>
      <c r="B43" s="8">
        <v>1600000</v>
      </c>
      <c r="C43" s="1"/>
      <c r="F43" s="1"/>
      <c r="G43" t="s">
        <v>6</v>
      </c>
      <c r="I43" s="1">
        <f>O$4</f>
        <v>5.5E-2</v>
      </c>
    </row>
    <row r="44" spans="1:12" x14ac:dyDescent="0.3">
      <c r="A44" t="s">
        <v>21</v>
      </c>
      <c r="B44" s="8">
        <v>100000</v>
      </c>
      <c r="C44" s="1"/>
      <c r="F44" s="1"/>
      <c r="G44" t="s">
        <v>7</v>
      </c>
      <c r="I44" s="1">
        <f>O$5</f>
        <v>0.01</v>
      </c>
    </row>
    <row r="45" spans="1:12" x14ac:dyDescent="0.3">
      <c r="A45" t="s">
        <v>22</v>
      </c>
      <c r="B45" s="8">
        <v>50000</v>
      </c>
    </row>
    <row r="47" spans="1:12" x14ac:dyDescent="0.3">
      <c r="C47" s="1"/>
    </row>
    <row r="48" spans="1:12" x14ac:dyDescent="0.3">
      <c r="A48" s="4" t="s">
        <v>26</v>
      </c>
    </row>
    <row r="49" spans="1:12" x14ac:dyDescent="0.3">
      <c r="A49" s="6"/>
      <c r="B49" s="5">
        <v>2019</v>
      </c>
      <c r="C49" s="5">
        <f>B49+1</f>
        <v>2020</v>
      </c>
      <c r="D49" s="5">
        <f t="shared" ref="D49" si="7">C49+1</f>
        <v>2021</v>
      </c>
      <c r="E49" s="5">
        <f t="shared" ref="E49" si="8">D49+1</f>
        <v>2022</v>
      </c>
      <c r="F49" s="5">
        <f t="shared" ref="F49" si="9">E49+1</f>
        <v>2023</v>
      </c>
      <c r="G49" s="5">
        <f t="shared" ref="G49" si="10">F49+1</f>
        <v>2024</v>
      </c>
      <c r="H49" s="5">
        <f t="shared" ref="H49" si="11">G49+1</f>
        <v>2025</v>
      </c>
      <c r="I49" s="5">
        <f t="shared" ref="I49" si="12">H49+1</f>
        <v>2026</v>
      </c>
      <c r="J49" s="5">
        <f t="shared" ref="J49" si="13">I49+1</f>
        <v>2027</v>
      </c>
      <c r="K49" s="5">
        <f t="shared" ref="K49" si="14">J49+1</f>
        <v>2028</v>
      </c>
      <c r="L49" s="9" t="s">
        <v>12</v>
      </c>
    </row>
    <row r="50" spans="1:12" x14ac:dyDescent="0.3">
      <c r="A50" t="s">
        <v>0</v>
      </c>
      <c r="B50" s="8">
        <f>B43</f>
        <v>1600000</v>
      </c>
      <c r="C50" s="8">
        <f>B50*(1+IF(C49&gt;$D42-1,$C42,$B42-(($B42-$C42)/($D42-$B49-1))*(B49-$B49)))</f>
        <v>2400000</v>
      </c>
      <c r="D50" s="8">
        <f t="shared" ref="D50" si="15">C50*(1+IF(D49&gt;$D42-1,$C42,$B42-(($B42-$C42)/($D42-$B49-1))*(C49-$B49)))</f>
        <v>3280000</v>
      </c>
      <c r="E50" s="8">
        <f t="shared" ref="E50" si="16">D50*(1+IF(E49&gt;$D42-1,$C42,$B42-(($B42-$C42)/($D42-$B49-1))*(D49-$B49)))</f>
        <v>4045333.3333333335</v>
      </c>
      <c r="F50" s="8">
        <f t="shared" ref="F50" si="17">E50*(1+IF(F49&gt;$D42-1,$C42,$B42-(($B42-$C42)/($D42-$B49-1))*(E49-$B49)))</f>
        <v>4449866.666666667</v>
      </c>
      <c r="G50" s="8">
        <f t="shared" ref="G50" si="18">F50*(1+IF(G49&gt;$D42-1,$C42,$B42-(($B42-$C42)/($D42-$B49-1))*(F49-$B49)))</f>
        <v>4894853.333333334</v>
      </c>
      <c r="H50" s="8">
        <f t="shared" ref="H50" si="19">G50*(1+IF(H49&gt;$D42-1,$C42,$B42-(($B42-$C42)/($D42-$B49-1))*(G49-$B49)))</f>
        <v>5384338.6666666679</v>
      </c>
      <c r="I50" s="8">
        <f t="shared" ref="I50" si="20">H50*(1+IF(I49&gt;$D42-1,$C42,$B42-(($B42-$C42)/($D42-$B49-1))*(H49-$B49)))</f>
        <v>5922772.5333333351</v>
      </c>
      <c r="J50" s="8">
        <f t="shared" ref="J50" si="21">I50*(1+IF(J49&gt;$D42-1,$C42,$B42-(($B42-$C42)/($D42-$B49-1))*(I49-$B49)))</f>
        <v>6515049.786666669</v>
      </c>
      <c r="K50" s="8">
        <f t="shared" ref="K50" si="22">J50*(1+IF(K49&gt;$D42-1,$C42,$B42-(($B42-$C42)/($D42-$B49-1))*(J49-$B49)))</f>
        <v>7166554.7653333368</v>
      </c>
      <c r="L50" s="8"/>
    </row>
    <row r="51" spans="1:12" x14ac:dyDescent="0.3">
      <c r="A51" t="s">
        <v>8</v>
      </c>
      <c r="B51" s="8">
        <f>B50*IF(B49&gt;$D41-1,$C41,$B41)-B44+B45</f>
        <v>46000</v>
      </c>
      <c r="C51" s="8">
        <f>C50*IF(C49&gt;$D41-1,$C41,$B41-(($B41-$C41)/($D41-$B49-1))*(B49-$B49))</f>
        <v>144000</v>
      </c>
      <c r="D51" s="8">
        <f t="shared" ref="D51" si="23">D50*IF(D49&gt;$D41-1,$C41,$B41-(($B41-$C41)/($D41-$B49-1))*(C49-$B49))</f>
        <v>224133.33333333331</v>
      </c>
      <c r="E51" s="8">
        <f t="shared" ref="E51" si="24">E50*IF(E49&gt;$D41-1,$C41,$B41-(($B41-$C41)/($D41-$B49-1))*(D49-$B49))</f>
        <v>310142.22222222225</v>
      </c>
      <c r="F51" s="8">
        <f t="shared" ref="F51" si="25">F50*IF(F49&gt;$D41-1,$C41,$B41-(($B41-$C41)/($D41-$B49-1))*(E49-$B49))</f>
        <v>378238.66666666674</v>
      </c>
      <c r="G51" s="8">
        <f t="shared" ref="G51" si="26">G50*IF(G49&gt;$D41-1,$C41,$B41-(($B41-$C41)/($D41-$B49-1))*(F49-$B49))</f>
        <v>416062.53333333344</v>
      </c>
      <c r="H51" s="8">
        <f t="shared" ref="H51" si="27">H50*IF(H49&gt;$D41-1,$C41,$B41-(($B41-$C41)/($D41-$B49-1))*(G49-$B49))</f>
        <v>457668.7866666668</v>
      </c>
      <c r="I51" s="8">
        <f t="shared" ref="I51" si="28">I50*IF(I49&gt;$D41-1,$C41,$B41-(($B41-$C41)/($D41-$B49-1))*(H49-$B49))</f>
        <v>503435.66533333354</v>
      </c>
      <c r="J51" s="8">
        <f t="shared" ref="J51" si="29">J50*IF(J49&gt;$D41-1,$C41,$B41-(($B41-$C41)/($D41-$B49-1))*(I49-$B49))</f>
        <v>553779.23186666693</v>
      </c>
      <c r="K51" s="8">
        <f t="shared" ref="K51" si="30">K50*IF(K49&gt;$D41-1,$C41,$B41-(($B41-$C41)/($D41-$B49-1))*(J49-$B49))</f>
        <v>609157.15505333361</v>
      </c>
      <c r="L51" s="8"/>
    </row>
    <row r="52" spans="1:12" x14ac:dyDescent="0.3">
      <c r="A52" t="s">
        <v>2</v>
      </c>
      <c r="B52" s="8">
        <f t="shared" ref="B52:K52" si="31">B51*$I42</f>
        <v>13800</v>
      </c>
      <c r="C52" s="8">
        <f t="shared" si="31"/>
        <v>43200</v>
      </c>
      <c r="D52" s="8">
        <f t="shared" si="31"/>
        <v>67239.999999999985</v>
      </c>
      <c r="E52" s="8">
        <f t="shared" si="31"/>
        <v>93042.666666666672</v>
      </c>
      <c r="F52" s="8">
        <f t="shared" si="31"/>
        <v>113471.60000000002</v>
      </c>
      <c r="G52" s="8">
        <f t="shared" si="31"/>
        <v>124818.76000000002</v>
      </c>
      <c r="H52" s="8">
        <f t="shared" si="31"/>
        <v>137300.63600000003</v>
      </c>
      <c r="I52" s="8">
        <f t="shared" si="31"/>
        <v>151030.69960000005</v>
      </c>
      <c r="J52" s="8">
        <f t="shared" si="31"/>
        <v>166133.76956000007</v>
      </c>
      <c r="K52" s="8">
        <f t="shared" si="31"/>
        <v>182747.14651600007</v>
      </c>
      <c r="L52" s="8"/>
    </row>
    <row r="53" spans="1:12" x14ac:dyDescent="0.3">
      <c r="A53" t="s">
        <v>1</v>
      </c>
      <c r="B53" s="8">
        <f t="shared" ref="B53:K53" si="32">B50*$I41</f>
        <v>8000</v>
      </c>
      <c r="C53" s="8">
        <f t="shared" si="32"/>
        <v>12000</v>
      </c>
      <c r="D53" s="8">
        <f t="shared" si="32"/>
        <v>16400</v>
      </c>
      <c r="E53" s="8">
        <f t="shared" si="32"/>
        <v>20226.666666666668</v>
      </c>
      <c r="F53" s="8">
        <f t="shared" si="32"/>
        <v>22249.333333333336</v>
      </c>
      <c r="G53" s="8">
        <f t="shared" si="32"/>
        <v>24474.26666666667</v>
      </c>
      <c r="H53" s="8">
        <f t="shared" si="32"/>
        <v>26921.69333333334</v>
      </c>
      <c r="I53" s="8">
        <f t="shared" si="32"/>
        <v>29613.862666666675</v>
      </c>
      <c r="J53" s="8">
        <f t="shared" si="32"/>
        <v>32575.248933333347</v>
      </c>
      <c r="K53" s="8">
        <f t="shared" si="32"/>
        <v>35832.773826666686</v>
      </c>
      <c r="L53" s="8"/>
    </row>
    <row r="54" spans="1:12" x14ac:dyDescent="0.3">
      <c r="A54" t="s">
        <v>3</v>
      </c>
      <c r="B54" s="8">
        <f>B51-B52+B53</f>
        <v>40200</v>
      </c>
      <c r="C54" s="8">
        <f t="shared" ref="C54:K54" si="33">C51-C52+C53</f>
        <v>112800</v>
      </c>
      <c r="D54" s="8">
        <f t="shared" si="33"/>
        <v>173293.33333333331</v>
      </c>
      <c r="E54" s="8">
        <f t="shared" si="33"/>
        <v>237326.22222222222</v>
      </c>
      <c r="F54" s="8">
        <f t="shared" si="33"/>
        <v>287016.40000000002</v>
      </c>
      <c r="G54" s="8">
        <f t="shared" si="33"/>
        <v>315718.0400000001</v>
      </c>
      <c r="H54" s="8">
        <f t="shared" si="33"/>
        <v>347289.84400000016</v>
      </c>
      <c r="I54" s="8">
        <f t="shared" si="33"/>
        <v>382018.82840000017</v>
      </c>
      <c r="J54" s="8">
        <f t="shared" si="33"/>
        <v>420220.71124000021</v>
      </c>
      <c r="K54" s="8">
        <f t="shared" si="33"/>
        <v>462242.78236400028</v>
      </c>
      <c r="L54" s="8">
        <f>(K54*(1+$I44))/($I43-$I44)</f>
        <v>10374782.448614229</v>
      </c>
    </row>
    <row r="55" spans="1:12" x14ac:dyDescent="0.3">
      <c r="A55" t="s">
        <v>4</v>
      </c>
      <c r="B55" s="8">
        <f>NPV(I43,B54:L54)</f>
        <v>7702071.93080239</v>
      </c>
      <c r="C55" s="2"/>
      <c r="D55" s="2"/>
      <c r="E55" s="2"/>
      <c r="F55" s="2"/>
    </row>
    <row r="56" spans="1:12" x14ac:dyDescent="0.3">
      <c r="A56" t="s">
        <v>20</v>
      </c>
      <c r="B56" s="1">
        <f>B54/B50</f>
        <v>2.5125000000000001E-2</v>
      </c>
      <c r="C56" s="1">
        <f>C54/C50</f>
        <v>4.7E-2</v>
      </c>
      <c r="D56" s="1">
        <f>D54/D50</f>
        <v>5.2833333333333329E-2</v>
      </c>
      <c r="E56" s="1">
        <f t="shared" ref="E56:K56" si="34">E54/E50</f>
        <v>5.8666666666666666E-2</v>
      </c>
      <c r="F56" s="1">
        <f t="shared" si="34"/>
        <v>6.4500000000000002E-2</v>
      </c>
      <c r="G56" s="1">
        <f t="shared" si="34"/>
        <v>6.4500000000000016E-2</v>
      </c>
      <c r="H56" s="1">
        <f t="shared" si="34"/>
        <v>6.4500000000000016E-2</v>
      </c>
      <c r="I56" s="1">
        <f t="shared" si="34"/>
        <v>6.4500000000000016E-2</v>
      </c>
      <c r="J56" s="1">
        <f t="shared" si="34"/>
        <v>6.4500000000000016E-2</v>
      </c>
      <c r="K56" s="1">
        <f t="shared" si="34"/>
        <v>6.4500000000000002E-2</v>
      </c>
      <c r="L56" s="1">
        <f>AVERAGE(B56:K56)</f>
        <v>5.7062500000000002E-2</v>
      </c>
    </row>
    <row r="57" spans="1:12" x14ac:dyDescent="0.3">
      <c r="B57" s="8"/>
    </row>
    <row r="58" spans="1:12" x14ac:dyDescent="0.3">
      <c r="B58" s="8"/>
    </row>
    <row r="59" spans="1:12" x14ac:dyDescent="0.3">
      <c r="B59" s="8"/>
    </row>
    <row r="62" spans="1:12" x14ac:dyDescent="0.3">
      <c r="A62" s="12" t="s">
        <v>25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</row>
    <row r="64" spans="1:12" x14ac:dyDescent="0.3">
      <c r="C64" s="10" t="s">
        <v>14</v>
      </c>
      <c r="D64" s="11"/>
      <c r="F64" s="10"/>
      <c r="G64" s="11"/>
      <c r="H64" s="11"/>
    </row>
    <row r="65" spans="1:12" x14ac:dyDescent="0.3">
      <c r="A65" s="4" t="s">
        <v>11</v>
      </c>
      <c r="B65" s="9" t="s">
        <v>13</v>
      </c>
      <c r="C65" s="9" t="s">
        <v>17</v>
      </c>
      <c r="D65" s="15" t="s">
        <v>16</v>
      </c>
      <c r="F65" s="7"/>
      <c r="G65" s="7"/>
      <c r="I65" s="7"/>
      <c r="J65" s="7"/>
      <c r="K65" s="7"/>
    </row>
    <row r="66" spans="1:12" x14ac:dyDescent="0.3">
      <c r="A66" t="s">
        <v>9</v>
      </c>
      <c r="B66" s="1">
        <v>0.06</v>
      </c>
      <c r="C66" s="1">
        <v>8.5000000000000006E-2</v>
      </c>
      <c r="D66">
        <v>2023</v>
      </c>
      <c r="F66" s="1"/>
      <c r="G66" t="s">
        <v>19</v>
      </c>
      <c r="I66" s="1">
        <f>O$2</f>
        <v>5.0000000000000001E-3</v>
      </c>
    </row>
    <row r="67" spans="1:12" x14ac:dyDescent="0.3">
      <c r="A67" t="s">
        <v>5</v>
      </c>
      <c r="B67" s="1">
        <v>0.5</v>
      </c>
      <c r="C67" s="1">
        <v>0.1</v>
      </c>
      <c r="D67">
        <v>2023</v>
      </c>
      <c r="F67" s="1"/>
      <c r="G67" t="s">
        <v>10</v>
      </c>
      <c r="I67" s="1">
        <f>O$3</f>
        <v>0.3</v>
      </c>
    </row>
    <row r="68" spans="1:12" x14ac:dyDescent="0.3">
      <c r="A68" t="s">
        <v>18</v>
      </c>
      <c r="B68" s="8">
        <v>1600000</v>
      </c>
      <c r="C68" s="1"/>
      <c r="F68" s="1"/>
      <c r="G68" t="s">
        <v>6</v>
      </c>
      <c r="I68" s="1">
        <f>O$4</f>
        <v>5.5E-2</v>
      </c>
    </row>
    <row r="69" spans="1:12" x14ac:dyDescent="0.3">
      <c r="A69" t="s">
        <v>21</v>
      </c>
      <c r="B69" s="8">
        <v>100000</v>
      </c>
      <c r="C69" s="1"/>
      <c r="F69" s="1"/>
      <c r="G69" t="s">
        <v>7</v>
      </c>
      <c r="I69" s="1">
        <f>O$5</f>
        <v>0.01</v>
      </c>
    </row>
    <row r="70" spans="1:12" x14ac:dyDescent="0.3">
      <c r="A70" t="s">
        <v>22</v>
      </c>
      <c r="B70" s="8">
        <v>50000</v>
      </c>
    </row>
    <row r="72" spans="1:12" x14ac:dyDescent="0.3">
      <c r="C72" s="1"/>
    </row>
    <row r="73" spans="1:12" x14ac:dyDescent="0.3">
      <c r="A73" s="4" t="s">
        <v>26</v>
      </c>
    </row>
    <row r="74" spans="1:12" x14ac:dyDescent="0.3">
      <c r="A74" s="6"/>
      <c r="B74" s="5">
        <v>2019</v>
      </c>
      <c r="C74" s="5">
        <f>B74+1</f>
        <v>2020</v>
      </c>
      <c r="D74" s="5">
        <f t="shared" ref="D74" si="35">C74+1</f>
        <v>2021</v>
      </c>
      <c r="E74" s="5">
        <f t="shared" ref="E74" si="36">D74+1</f>
        <v>2022</v>
      </c>
      <c r="F74" s="5">
        <f t="shared" ref="F74" si="37">E74+1</f>
        <v>2023</v>
      </c>
      <c r="G74" s="5">
        <f t="shared" ref="G74" si="38">F74+1</f>
        <v>2024</v>
      </c>
      <c r="H74" s="5">
        <f t="shared" ref="H74" si="39">G74+1</f>
        <v>2025</v>
      </c>
      <c r="I74" s="5">
        <f t="shared" ref="I74" si="40">H74+1</f>
        <v>2026</v>
      </c>
      <c r="J74" s="5">
        <f t="shared" ref="J74" si="41">I74+1</f>
        <v>2027</v>
      </c>
      <c r="K74" s="5">
        <f t="shared" ref="K74" si="42">J74+1</f>
        <v>2028</v>
      </c>
      <c r="L74" s="9" t="s">
        <v>12</v>
      </c>
    </row>
    <row r="75" spans="1:12" x14ac:dyDescent="0.3">
      <c r="A75" t="s">
        <v>0</v>
      </c>
      <c r="B75" s="8">
        <f>B68</f>
        <v>1600000</v>
      </c>
      <c r="C75" s="8">
        <f>B75*(1+IF(C74&gt;$D67-1,$C67,$B67-(($B67-$C67)/($D67-$B74-1))*(B74-$B74)))</f>
        <v>2400000</v>
      </c>
      <c r="D75" s="8">
        <f t="shared" ref="D75" si="43">C75*(1+IF(D74&gt;$D67-1,$C67,$B67-(($B67-$C67)/($D67-$B74-1))*(C74-$B74)))</f>
        <v>3280000</v>
      </c>
      <c r="E75" s="8">
        <f t="shared" ref="E75" si="44">D75*(1+IF(E74&gt;$D67-1,$C67,$B67-(($B67-$C67)/($D67-$B74-1))*(D74-$B74)))</f>
        <v>4045333.3333333335</v>
      </c>
      <c r="F75" s="8">
        <f t="shared" ref="F75" si="45">E75*(1+IF(F74&gt;$D67-1,$C67,$B67-(($B67-$C67)/($D67-$B74-1))*(E74-$B74)))</f>
        <v>4449866.666666667</v>
      </c>
      <c r="G75" s="8">
        <f t="shared" ref="G75" si="46">F75*(1+IF(G74&gt;$D67-1,$C67,$B67-(($B67-$C67)/($D67-$B74-1))*(F74-$B74)))</f>
        <v>4894853.333333334</v>
      </c>
      <c r="H75" s="8">
        <f t="shared" ref="H75" si="47">G75*(1+IF(H74&gt;$D67-1,$C67,$B67-(($B67-$C67)/($D67-$B74-1))*(G74-$B74)))</f>
        <v>5384338.6666666679</v>
      </c>
      <c r="I75" s="8">
        <f t="shared" ref="I75" si="48">H75*(1+IF(I74&gt;$D67-1,$C67,$B67-(($B67-$C67)/($D67-$B74-1))*(H74-$B74)))</f>
        <v>5922772.5333333351</v>
      </c>
      <c r="J75" s="8">
        <f t="shared" ref="J75" si="49">I75*(1+IF(J74&gt;$D67-1,$C67,$B67-(($B67-$C67)/($D67-$B74-1))*(I74-$B74)))</f>
        <v>6515049.786666669</v>
      </c>
      <c r="K75" s="8">
        <f t="shared" ref="K75" si="50">J75*(1+IF(K74&gt;$D67-1,$C67,$B67-(($B67-$C67)/($D67-$B74-1))*(J74-$B74)))</f>
        <v>7166554.7653333368</v>
      </c>
      <c r="L75" s="8"/>
    </row>
    <row r="76" spans="1:12" x14ac:dyDescent="0.3">
      <c r="A76" t="s">
        <v>8</v>
      </c>
      <c r="B76" s="8">
        <f>B75*IF(B74&gt;$D66-1,$C66,$B66)-B69+B70</f>
        <v>46000</v>
      </c>
      <c r="C76" s="8">
        <f>C75*IF(C74&gt;$D66-1,$C66,$B66-(($B66-$C66)/($D66-$B74-1))*(B74-$B74))</f>
        <v>144000</v>
      </c>
      <c r="D76" s="8">
        <f t="shared" ref="D76" si="51">D75*IF(D74&gt;$D66-1,$C66,$B66-(($B66-$C66)/($D66-$B74-1))*(C74-$B74))</f>
        <v>224133.33333333331</v>
      </c>
      <c r="E76" s="8">
        <f t="shared" ref="E76" si="52">E75*IF(E74&gt;$D66-1,$C66,$B66-(($B66-$C66)/($D66-$B74-1))*(D74-$B74))</f>
        <v>310142.22222222225</v>
      </c>
      <c r="F76" s="8">
        <f t="shared" ref="F76" si="53">F75*IF(F74&gt;$D66-1,$C66,$B66-(($B66-$C66)/($D66-$B74-1))*(E74-$B74))</f>
        <v>378238.66666666674</v>
      </c>
      <c r="G76" s="8">
        <f t="shared" ref="G76" si="54">G75*IF(G74&gt;$D66-1,$C66,$B66-(($B66-$C66)/($D66-$B74-1))*(F74-$B74))</f>
        <v>416062.53333333344</v>
      </c>
      <c r="H76" s="8">
        <f t="shared" ref="H76" si="55">H75*IF(H74&gt;$D66-1,$C66,$B66-(($B66-$C66)/($D66-$B74-1))*(G74-$B74))</f>
        <v>457668.7866666668</v>
      </c>
      <c r="I76" s="8">
        <f t="shared" ref="I76" si="56">I75*IF(I74&gt;$D66-1,$C66,$B66-(($B66-$C66)/($D66-$B74-1))*(H74-$B74))</f>
        <v>503435.66533333354</v>
      </c>
      <c r="J76" s="8">
        <f t="shared" ref="J76" si="57">J75*IF(J74&gt;$D66-1,$C66,$B66-(($B66-$C66)/($D66-$B74-1))*(I74-$B74))</f>
        <v>553779.23186666693</v>
      </c>
      <c r="K76" s="8">
        <f t="shared" ref="K76" si="58">K75*IF(K74&gt;$D66-1,$C66,$B66-(($B66-$C66)/($D66-$B74-1))*(J74-$B74))</f>
        <v>609157.15505333361</v>
      </c>
      <c r="L76" s="8"/>
    </row>
    <row r="77" spans="1:12" x14ac:dyDescent="0.3">
      <c r="A77" t="s">
        <v>2</v>
      </c>
      <c r="B77" s="8">
        <f t="shared" ref="B77:K77" si="59">B76*$I67</f>
        <v>13800</v>
      </c>
      <c r="C77" s="8">
        <f t="shared" si="59"/>
        <v>43200</v>
      </c>
      <c r="D77" s="8">
        <f t="shared" si="59"/>
        <v>67239.999999999985</v>
      </c>
      <c r="E77" s="8">
        <f t="shared" si="59"/>
        <v>93042.666666666672</v>
      </c>
      <c r="F77" s="8">
        <f t="shared" si="59"/>
        <v>113471.60000000002</v>
      </c>
      <c r="G77" s="8">
        <f t="shared" si="59"/>
        <v>124818.76000000002</v>
      </c>
      <c r="H77" s="8">
        <f t="shared" si="59"/>
        <v>137300.63600000003</v>
      </c>
      <c r="I77" s="8">
        <f t="shared" si="59"/>
        <v>151030.69960000005</v>
      </c>
      <c r="J77" s="8">
        <f t="shared" si="59"/>
        <v>166133.76956000007</v>
      </c>
      <c r="K77" s="8">
        <f t="shared" si="59"/>
        <v>182747.14651600007</v>
      </c>
      <c r="L77" s="8"/>
    </row>
    <row r="78" spans="1:12" x14ac:dyDescent="0.3">
      <c r="A78" t="s">
        <v>1</v>
      </c>
      <c r="B78" s="8">
        <f t="shared" ref="B78:K78" si="60">B75*$I66</f>
        <v>8000</v>
      </c>
      <c r="C78" s="8">
        <f t="shared" si="60"/>
        <v>12000</v>
      </c>
      <c r="D78" s="8">
        <f t="shared" si="60"/>
        <v>16400</v>
      </c>
      <c r="E78" s="8">
        <f t="shared" si="60"/>
        <v>20226.666666666668</v>
      </c>
      <c r="F78" s="8">
        <f t="shared" si="60"/>
        <v>22249.333333333336</v>
      </c>
      <c r="G78" s="8">
        <f t="shared" si="60"/>
        <v>24474.26666666667</v>
      </c>
      <c r="H78" s="8">
        <f t="shared" si="60"/>
        <v>26921.69333333334</v>
      </c>
      <c r="I78" s="8">
        <f t="shared" si="60"/>
        <v>29613.862666666675</v>
      </c>
      <c r="J78" s="8">
        <f t="shared" si="60"/>
        <v>32575.248933333347</v>
      </c>
      <c r="K78" s="8">
        <f t="shared" si="60"/>
        <v>35832.773826666686</v>
      </c>
      <c r="L78" s="8"/>
    </row>
    <row r="79" spans="1:12" x14ac:dyDescent="0.3">
      <c r="A79" t="s">
        <v>3</v>
      </c>
      <c r="B79" s="8">
        <f>B76-B77+B78</f>
        <v>40200</v>
      </c>
      <c r="C79" s="8">
        <f t="shared" ref="C79:K79" si="61">C76-C77+C78</f>
        <v>112800</v>
      </c>
      <c r="D79" s="8">
        <f t="shared" si="61"/>
        <v>173293.33333333331</v>
      </c>
      <c r="E79" s="8">
        <f t="shared" si="61"/>
        <v>237326.22222222222</v>
      </c>
      <c r="F79" s="8">
        <f t="shared" si="61"/>
        <v>287016.40000000002</v>
      </c>
      <c r="G79" s="8">
        <f t="shared" si="61"/>
        <v>315718.0400000001</v>
      </c>
      <c r="H79" s="8">
        <f t="shared" si="61"/>
        <v>347289.84400000016</v>
      </c>
      <c r="I79" s="8">
        <f t="shared" si="61"/>
        <v>382018.82840000017</v>
      </c>
      <c r="J79" s="8">
        <f t="shared" si="61"/>
        <v>420220.71124000021</v>
      </c>
      <c r="K79" s="8">
        <f t="shared" si="61"/>
        <v>462242.78236400028</v>
      </c>
      <c r="L79" s="8">
        <f>(K79*(1+$I69))/($I68-$I69)</f>
        <v>10374782.448614229</v>
      </c>
    </row>
    <row r="80" spans="1:12" x14ac:dyDescent="0.3">
      <c r="A80" t="s">
        <v>4</v>
      </c>
      <c r="B80" s="8">
        <f>NPV(I68,B79:L79)</f>
        <v>7702071.93080239</v>
      </c>
      <c r="C80" s="2"/>
      <c r="D80" s="2"/>
      <c r="E80" s="2"/>
      <c r="F80" s="2"/>
    </row>
    <row r="81" spans="1:12" x14ac:dyDescent="0.3">
      <c r="A81" t="s">
        <v>20</v>
      </c>
      <c r="B81" s="1">
        <f>B79/B75</f>
        <v>2.5125000000000001E-2</v>
      </c>
      <c r="C81" s="1">
        <f>C79/C75</f>
        <v>4.7E-2</v>
      </c>
      <c r="D81" s="1">
        <f>D79/D75</f>
        <v>5.2833333333333329E-2</v>
      </c>
      <c r="E81" s="1">
        <f t="shared" ref="E81:K81" si="62">E79/E75</f>
        <v>5.8666666666666666E-2</v>
      </c>
      <c r="F81" s="1">
        <f t="shared" si="62"/>
        <v>6.4500000000000002E-2</v>
      </c>
      <c r="G81" s="1">
        <f t="shared" si="62"/>
        <v>6.4500000000000016E-2</v>
      </c>
      <c r="H81" s="1">
        <f t="shared" si="62"/>
        <v>6.4500000000000016E-2</v>
      </c>
      <c r="I81" s="1">
        <f t="shared" si="62"/>
        <v>6.4500000000000016E-2</v>
      </c>
      <c r="J81" s="1">
        <f t="shared" si="62"/>
        <v>6.4500000000000016E-2</v>
      </c>
      <c r="K81" s="1">
        <f t="shared" si="62"/>
        <v>6.4500000000000002E-2</v>
      </c>
      <c r="L81" s="1">
        <f>AVERAGE(B81:K81)</f>
        <v>5.7062500000000002E-2</v>
      </c>
    </row>
    <row r="82" spans="1:12" x14ac:dyDescent="0.3">
      <c r="B82" s="8"/>
    </row>
    <row r="83" spans="1:12" x14ac:dyDescent="0.3">
      <c r="B83" s="8"/>
    </row>
    <row r="84" spans="1:12" x14ac:dyDescent="0.3">
      <c r="B84" s="8"/>
    </row>
    <row r="87" spans="1:12" x14ac:dyDescent="0.3">
      <c r="A87" s="12" t="s">
        <v>32</v>
      </c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</row>
    <row r="89" spans="1:12" x14ac:dyDescent="0.3">
      <c r="C89" s="10" t="s">
        <v>14</v>
      </c>
      <c r="D89" s="11"/>
      <c r="F89" s="10"/>
      <c r="G89" s="11"/>
      <c r="H89" s="11"/>
    </row>
    <row r="90" spans="1:12" x14ac:dyDescent="0.3">
      <c r="A90" s="4" t="s">
        <v>11</v>
      </c>
      <c r="B90" s="9" t="s">
        <v>13</v>
      </c>
      <c r="C90" s="9" t="s">
        <v>17</v>
      </c>
      <c r="D90" s="15" t="s">
        <v>16</v>
      </c>
      <c r="F90" s="7"/>
      <c r="G90" s="7"/>
      <c r="I90" s="7"/>
      <c r="J90" s="7"/>
      <c r="K90" s="7"/>
    </row>
    <row r="91" spans="1:12" x14ac:dyDescent="0.3">
      <c r="A91" t="s">
        <v>9</v>
      </c>
      <c r="B91" s="1">
        <v>0.06</v>
      </c>
      <c r="C91" s="1">
        <v>8.5000000000000006E-2</v>
      </c>
      <c r="D91">
        <v>2023</v>
      </c>
      <c r="F91" s="1"/>
      <c r="G91" t="s">
        <v>19</v>
      </c>
      <c r="I91" s="1">
        <f>O$2</f>
        <v>5.0000000000000001E-3</v>
      </c>
    </row>
    <row r="92" spans="1:12" x14ac:dyDescent="0.3">
      <c r="A92" t="s">
        <v>5</v>
      </c>
      <c r="B92" s="1">
        <v>0.5</v>
      </c>
      <c r="C92" s="1">
        <v>0.1</v>
      </c>
      <c r="D92">
        <v>2023</v>
      </c>
      <c r="F92" s="1"/>
      <c r="G92" t="s">
        <v>10</v>
      </c>
      <c r="I92" s="1">
        <f>O$3</f>
        <v>0.3</v>
      </c>
    </row>
    <row r="93" spans="1:12" x14ac:dyDescent="0.3">
      <c r="A93" t="s">
        <v>18</v>
      </c>
      <c r="B93" s="8">
        <v>1600000</v>
      </c>
      <c r="C93" s="1"/>
      <c r="F93" s="1"/>
      <c r="G93" t="s">
        <v>6</v>
      </c>
      <c r="I93" s="1">
        <f>O$4</f>
        <v>5.5E-2</v>
      </c>
    </row>
    <row r="94" spans="1:12" x14ac:dyDescent="0.3">
      <c r="A94" t="s">
        <v>21</v>
      </c>
      <c r="B94" s="8">
        <v>100000</v>
      </c>
      <c r="C94" s="1"/>
      <c r="F94" s="1"/>
      <c r="G94" t="s">
        <v>7</v>
      </c>
      <c r="I94" s="1">
        <f>O$5</f>
        <v>0.01</v>
      </c>
    </row>
    <row r="95" spans="1:12" x14ac:dyDescent="0.3">
      <c r="A95" t="s">
        <v>22</v>
      </c>
      <c r="B95" s="8">
        <v>50000</v>
      </c>
    </row>
    <row r="97" spans="1:12" x14ac:dyDescent="0.3">
      <c r="C97" s="1"/>
    </row>
    <row r="98" spans="1:12" x14ac:dyDescent="0.3">
      <c r="A98" s="4" t="s">
        <v>26</v>
      </c>
    </row>
    <row r="99" spans="1:12" x14ac:dyDescent="0.3">
      <c r="A99" s="6"/>
      <c r="B99" s="5">
        <v>2019</v>
      </c>
      <c r="C99" s="5">
        <f>B99+1</f>
        <v>2020</v>
      </c>
      <c r="D99" s="5">
        <f t="shared" ref="D99" si="63">C99+1</f>
        <v>2021</v>
      </c>
      <c r="E99" s="5">
        <f t="shared" ref="E99" si="64">D99+1</f>
        <v>2022</v>
      </c>
      <c r="F99" s="5">
        <f t="shared" ref="F99" si="65">E99+1</f>
        <v>2023</v>
      </c>
      <c r="G99" s="5">
        <f t="shared" ref="G99" si="66">F99+1</f>
        <v>2024</v>
      </c>
      <c r="H99" s="5">
        <f t="shared" ref="H99" si="67">G99+1</f>
        <v>2025</v>
      </c>
      <c r="I99" s="5">
        <f t="shared" ref="I99" si="68">H99+1</f>
        <v>2026</v>
      </c>
      <c r="J99" s="5">
        <f t="shared" ref="J99" si="69">I99+1</f>
        <v>2027</v>
      </c>
      <c r="K99" s="5">
        <f t="shared" ref="K99" si="70">J99+1</f>
        <v>2028</v>
      </c>
      <c r="L99" s="9" t="s">
        <v>12</v>
      </c>
    </row>
    <row r="100" spans="1:12" x14ac:dyDescent="0.3">
      <c r="A100" t="s">
        <v>0</v>
      </c>
      <c r="B100" s="8">
        <f>B93</f>
        <v>1600000</v>
      </c>
      <c r="C100" s="8">
        <f>B100*(1+IF(C99&gt;$D92-1,$C92,$B92-(($B92-$C92)/($D92-$B99-1))*(B99-$B99)))</f>
        <v>2400000</v>
      </c>
      <c r="D100" s="8">
        <f t="shared" ref="D100" si="71">C100*(1+IF(D99&gt;$D92-1,$C92,$B92-(($B92-$C92)/($D92-$B99-1))*(C99-$B99)))</f>
        <v>3280000</v>
      </c>
      <c r="E100" s="8">
        <f t="shared" ref="E100" si="72">D100*(1+IF(E99&gt;$D92-1,$C92,$B92-(($B92-$C92)/($D92-$B99-1))*(D99-$B99)))</f>
        <v>4045333.3333333335</v>
      </c>
      <c r="F100" s="8">
        <f t="shared" ref="F100" si="73">E100*(1+IF(F99&gt;$D92-1,$C92,$B92-(($B92-$C92)/($D92-$B99-1))*(E99-$B99)))</f>
        <v>4449866.666666667</v>
      </c>
      <c r="G100" s="8">
        <f t="shared" ref="G100" si="74">F100*(1+IF(G99&gt;$D92-1,$C92,$B92-(($B92-$C92)/($D92-$B99-1))*(F99-$B99)))</f>
        <v>4894853.333333334</v>
      </c>
      <c r="H100" s="8">
        <f t="shared" ref="H100" si="75">G100*(1+IF(H99&gt;$D92-1,$C92,$B92-(($B92-$C92)/($D92-$B99-1))*(G99-$B99)))</f>
        <v>5384338.6666666679</v>
      </c>
      <c r="I100" s="8">
        <f t="shared" ref="I100" si="76">H100*(1+IF(I99&gt;$D92-1,$C92,$B92-(($B92-$C92)/($D92-$B99-1))*(H99-$B99)))</f>
        <v>5922772.5333333351</v>
      </c>
      <c r="J100" s="8">
        <f t="shared" ref="J100" si="77">I100*(1+IF(J99&gt;$D92-1,$C92,$B92-(($B92-$C92)/($D92-$B99-1))*(I99-$B99)))</f>
        <v>6515049.786666669</v>
      </c>
      <c r="K100" s="8">
        <f t="shared" ref="K100" si="78">J100*(1+IF(K99&gt;$D92-1,$C92,$B92-(($B92-$C92)/($D92-$B99-1))*(J99-$B99)))</f>
        <v>7166554.7653333368</v>
      </c>
      <c r="L100" s="8"/>
    </row>
    <row r="101" spans="1:12" x14ac:dyDescent="0.3">
      <c r="A101" t="s">
        <v>8</v>
      </c>
      <c r="B101" s="8">
        <f>B100*IF(B99&gt;$D91-1,$C91,$B91)-B94+B95</f>
        <v>46000</v>
      </c>
      <c r="C101" s="8">
        <f>C100*IF(C99&gt;$D91-1,$C91,$B91-(($B91-$C91)/($D91-$B99-1))*(B99-$B99))</f>
        <v>144000</v>
      </c>
      <c r="D101" s="8">
        <f t="shared" ref="D101" si="79">D100*IF(D99&gt;$D91-1,$C91,$B91-(($B91-$C91)/($D91-$B99-1))*(C99-$B99))</f>
        <v>224133.33333333331</v>
      </c>
      <c r="E101" s="8">
        <f t="shared" ref="E101" si="80">E100*IF(E99&gt;$D91-1,$C91,$B91-(($B91-$C91)/($D91-$B99-1))*(D99-$B99))</f>
        <v>310142.22222222225</v>
      </c>
      <c r="F101" s="8">
        <f t="shared" ref="F101" si="81">F100*IF(F99&gt;$D91-1,$C91,$B91-(($B91-$C91)/($D91-$B99-1))*(E99-$B99))</f>
        <v>378238.66666666674</v>
      </c>
      <c r="G101" s="8">
        <f t="shared" ref="G101" si="82">G100*IF(G99&gt;$D91-1,$C91,$B91-(($B91-$C91)/($D91-$B99-1))*(F99-$B99))</f>
        <v>416062.53333333344</v>
      </c>
      <c r="H101" s="8">
        <f t="shared" ref="H101" si="83">H100*IF(H99&gt;$D91-1,$C91,$B91-(($B91-$C91)/($D91-$B99-1))*(G99-$B99))</f>
        <v>457668.7866666668</v>
      </c>
      <c r="I101" s="8">
        <f t="shared" ref="I101" si="84">I100*IF(I99&gt;$D91-1,$C91,$B91-(($B91-$C91)/($D91-$B99-1))*(H99-$B99))</f>
        <v>503435.66533333354</v>
      </c>
      <c r="J101" s="8">
        <f t="shared" ref="J101" si="85">J100*IF(J99&gt;$D91-1,$C91,$B91-(($B91-$C91)/($D91-$B99-1))*(I99-$B99))</f>
        <v>553779.23186666693</v>
      </c>
      <c r="K101" s="8">
        <f t="shared" ref="K101" si="86">K100*IF(K99&gt;$D91-1,$C91,$B91-(($B91-$C91)/($D91-$B99-1))*(J99-$B99))</f>
        <v>609157.15505333361</v>
      </c>
      <c r="L101" s="8"/>
    </row>
    <row r="102" spans="1:12" x14ac:dyDescent="0.3">
      <c r="A102" t="s">
        <v>2</v>
      </c>
      <c r="B102" s="8">
        <f t="shared" ref="B102:K102" si="87">B101*$I92</f>
        <v>13800</v>
      </c>
      <c r="C102" s="8">
        <f t="shared" si="87"/>
        <v>43200</v>
      </c>
      <c r="D102" s="8">
        <f t="shared" si="87"/>
        <v>67239.999999999985</v>
      </c>
      <c r="E102" s="8">
        <f t="shared" si="87"/>
        <v>93042.666666666672</v>
      </c>
      <c r="F102" s="8">
        <f t="shared" si="87"/>
        <v>113471.60000000002</v>
      </c>
      <c r="G102" s="8">
        <f t="shared" si="87"/>
        <v>124818.76000000002</v>
      </c>
      <c r="H102" s="8">
        <f t="shared" si="87"/>
        <v>137300.63600000003</v>
      </c>
      <c r="I102" s="8">
        <f t="shared" si="87"/>
        <v>151030.69960000005</v>
      </c>
      <c r="J102" s="8">
        <f t="shared" si="87"/>
        <v>166133.76956000007</v>
      </c>
      <c r="K102" s="8">
        <f t="shared" si="87"/>
        <v>182747.14651600007</v>
      </c>
      <c r="L102" s="8"/>
    </row>
    <row r="103" spans="1:12" x14ac:dyDescent="0.3">
      <c r="A103" t="s">
        <v>1</v>
      </c>
      <c r="B103" s="8">
        <f t="shared" ref="B103:K103" si="88">B100*$I91</f>
        <v>8000</v>
      </c>
      <c r="C103" s="8">
        <f t="shared" si="88"/>
        <v>12000</v>
      </c>
      <c r="D103" s="8">
        <f t="shared" si="88"/>
        <v>16400</v>
      </c>
      <c r="E103" s="8">
        <f t="shared" si="88"/>
        <v>20226.666666666668</v>
      </c>
      <c r="F103" s="8">
        <f t="shared" si="88"/>
        <v>22249.333333333336</v>
      </c>
      <c r="G103" s="8">
        <f t="shared" si="88"/>
        <v>24474.26666666667</v>
      </c>
      <c r="H103" s="8">
        <f t="shared" si="88"/>
        <v>26921.69333333334</v>
      </c>
      <c r="I103" s="8">
        <f t="shared" si="88"/>
        <v>29613.862666666675</v>
      </c>
      <c r="J103" s="8">
        <f t="shared" si="88"/>
        <v>32575.248933333347</v>
      </c>
      <c r="K103" s="8">
        <f t="shared" si="88"/>
        <v>35832.773826666686</v>
      </c>
      <c r="L103" s="8"/>
    </row>
    <row r="104" spans="1:12" x14ac:dyDescent="0.3">
      <c r="A104" t="s">
        <v>3</v>
      </c>
      <c r="B104" s="8">
        <f>B101-B102+B103</f>
        <v>40200</v>
      </c>
      <c r="C104" s="8">
        <f t="shared" ref="C104:K104" si="89">C101-C102+C103</f>
        <v>112800</v>
      </c>
      <c r="D104" s="8">
        <f t="shared" si="89"/>
        <v>173293.33333333331</v>
      </c>
      <c r="E104" s="8">
        <f t="shared" si="89"/>
        <v>237326.22222222222</v>
      </c>
      <c r="F104" s="8">
        <f t="shared" si="89"/>
        <v>287016.40000000002</v>
      </c>
      <c r="G104" s="8">
        <f t="shared" si="89"/>
        <v>315718.0400000001</v>
      </c>
      <c r="H104" s="8">
        <f t="shared" si="89"/>
        <v>347289.84400000016</v>
      </c>
      <c r="I104" s="8">
        <f t="shared" si="89"/>
        <v>382018.82840000017</v>
      </c>
      <c r="J104" s="8">
        <f t="shared" si="89"/>
        <v>420220.71124000021</v>
      </c>
      <c r="K104" s="8">
        <f t="shared" si="89"/>
        <v>462242.78236400028</v>
      </c>
      <c r="L104" s="8">
        <f>(K104*(1+$I94))/($I93-$I94)</f>
        <v>10374782.448614229</v>
      </c>
    </row>
    <row r="105" spans="1:12" x14ac:dyDescent="0.3">
      <c r="A105" t="s">
        <v>4</v>
      </c>
      <c r="B105" s="8">
        <f>NPV(I93,B104:L104)</f>
        <v>7702071.93080239</v>
      </c>
      <c r="C105" s="2"/>
      <c r="D105" s="2"/>
      <c r="E105" s="2"/>
      <c r="F105" s="2"/>
    </row>
    <row r="106" spans="1:12" x14ac:dyDescent="0.3">
      <c r="A106" t="s">
        <v>20</v>
      </c>
      <c r="B106" s="1">
        <f>B104/B100</f>
        <v>2.5125000000000001E-2</v>
      </c>
      <c r="C106" s="1">
        <f>C104/C100</f>
        <v>4.7E-2</v>
      </c>
      <c r="D106" s="1">
        <f>D104/D100</f>
        <v>5.2833333333333329E-2</v>
      </c>
      <c r="E106" s="1">
        <f t="shared" ref="E106:K106" si="90">E104/E100</f>
        <v>5.8666666666666666E-2</v>
      </c>
      <c r="F106" s="1">
        <f t="shared" si="90"/>
        <v>6.4500000000000002E-2</v>
      </c>
      <c r="G106" s="1">
        <f t="shared" si="90"/>
        <v>6.4500000000000016E-2</v>
      </c>
      <c r="H106" s="1">
        <f t="shared" si="90"/>
        <v>6.4500000000000016E-2</v>
      </c>
      <c r="I106" s="1">
        <f t="shared" si="90"/>
        <v>6.4500000000000016E-2</v>
      </c>
      <c r="J106" s="1">
        <f t="shared" si="90"/>
        <v>6.4500000000000016E-2</v>
      </c>
      <c r="K106" s="1">
        <f t="shared" si="90"/>
        <v>6.4500000000000002E-2</v>
      </c>
      <c r="L106" s="1">
        <f>AVERAGE(B106:K106)</f>
        <v>5.7062500000000002E-2</v>
      </c>
    </row>
    <row r="107" spans="1:12" x14ac:dyDescent="0.3">
      <c r="B107" s="8"/>
    </row>
    <row r="108" spans="1:12" x14ac:dyDescent="0.3">
      <c r="B108" s="8"/>
    </row>
    <row r="109" spans="1:12" x14ac:dyDescent="0.3">
      <c r="B109" s="8"/>
    </row>
    <row r="112" spans="1:12" x14ac:dyDescent="0.3">
      <c r="A112" s="12" t="s">
        <v>33</v>
      </c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</row>
    <row r="114" spans="1:12" x14ac:dyDescent="0.3">
      <c r="C114" s="10" t="s">
        <v>14</v>
      </c>
      <c r="D114" s="11"/>
      <c r="F114" s="10"/>
      <c r="G114" s="11"/>
      <c r="H114" s="11"/>
    </row>
    <row r="115" spans="1:12" x14ac:dyDescent="0.3">
      <c r="A115" s="4" t="s">
        <v>11</v>
      </c>
      <c r="B115" s="9" t="s">
        <v>13</v>
      </c>
      <c r="C115" s="9" t="s">
        <v>17</v>
      </c>
      <c r="D115" s="15" t="s">
        <v>16</v>
      </c>
      <c r="F115" s="7"/>
      <c r="G115" s="7"/>
      <c r="I115" s="7"/>
      <c r="J115" s="7"/>
      <c r="K115" s="7"/>
    </row>
    <row r="116" spans="1:12" x14ac:dyDescent="0.3">
      <c r="A116" t="s">
        <v>9</v>
      </c>
      <c r="B116" s="1">
        <v>0.16500000000000001</v>
      </c>
      <c r="C116" s="1">
        <v>0.16500000000000001</v>
      </c>
      <c r="D116">
        <v>2023</v>
      </c>
      <c r="F116" s="1"/>
      <c r="G116" t="s">
        <v>19</v>
      </c>
      <c r="I116" s="1">
        <f>O$2</f>
        <v>5.0000000000000001E-3</v>
      </c>
    </row>
    <row r="117" spans="1:12" x14ac:dyDescent="0.3">
      <c r="A117" t="s">
        <v>5</v>
      </c>
      <c r="B117" s="1">
        <v>0.05</v>
      </c>
      <c r="C117" s="1">
        <v>0.05</v>
      </c>
      <c r="D117">
        <v>2023</v>
      </c>
      <c r="F117" s="1"/>
      <c r="G117" t="s">
        <v>10</v>
      </c>
      <c r="I117" s="1">
        <f>O$3</f>
        <v>0.3</v>
      </c>
    </row>
    <row r="118" spans="1:12" x14ac:dyDescent="0.3">
      <c r="A118" t="s">
        <v>18</v>
      </c>
      <c r="B118" s="8">
        <v>1000000</v>
      </c>
      <c r="F118" s="1"/>
      <c r="G118" t="s">
        <v>6</v>
      </c>
      <c r="I118" s="1">
        <f>O$4</f>
        <v>5.5E-2</v>
      </c>
    </row>
    <row r="119" spans="1:12" x14ac:dyDescent="0.3">
      <c r="A119" t="s">
        <v>21</v>
      </c>
      <c r="B119" s="8">
        <v>50000</v>
      </c>
      <c r="F119" s="1"/>
      <c r="G119" t="s">
        <v>7</v>
      </c>
      <c r="I119" s="1">
        <f>O$5</f>
        <v>0.01</v>
      </c>
    </row>
    <row r="120" spans="1:12" x14ac:dyDescent="0.3">
      <c r="A120" t="s">
        <v>22</v>
      </c>
      <c r="B120" s="8"/>
    </row>
    <row r="122" spans="1:12" x14ac:dyDescent="0.3">
      <c r="C122" s="1"/>
    </row>
    <row r="123" spans="1:12" x14ac:dyDescent="0.3">
      <c r="A123" s="4" t="s">
        <v>26</v>
      </c>
    </row>
    <row r="124" spans="1:12" x14ac:dyDescent="0.3">
      <c r="A124" s="6"/>
      <c r="B124" s="5">
        <v>2019</v>
      </c>
      <c r="C124" s="5">
        <f>B124+1</f>
        <v>2020</v>
      </c>
      <c r="D124" s="5">
        <f t="shared" ref="D124:K124" si="91">C124+1</f>
        <v>2021</v>
      </c>
      <c r="E124" s="5">
        <f t="shared" si="91"/>
        <v>2022</v>
      </c>
      <c r="F124" s="5">
        <f t="shared" si="91"/>
        <v>2023</v>
      </c>
      <c r="G124" s="5">
        <f t="shared" si="91"/>
        <v>2024</v>
      </c>
      <c r="H124" s="5">
        <f t="shared" si="91"/>
        <v>2025</v>
      </c>
      <c r="I124" s="5">
        <f t="shared" si="91"/>
        <v>2026</v>
      </c>
      <c r="J124" s="5">
        <f t="shared" si="91"/>
        <v>2027</v>
      </c>
      <c r="K124" s="5">
        <f t="shared" si="91"/>
        <v>2028</v>
      </c>
      <c r="L124" s="9" t="s">
        <v>12</v>
      </c>
    </row>
    <row r="125" spans="1:12" x14ac:dyDescent="0.3">
      <c r="A125" t="s">
        <v>0</v>
      </c>
      <c r="B125" s="8">
        <f>B118</f>
        <v>1000000</v>
      </c>
      <c r="C125" s="8">
        <f>B125*(1+IF(C124&gt;$D117-1,$C117,$B117-(($B117-$C117)/($D117-$B124-1))*(B124-$B124)))</f>
        <v>1050000</v>
      </c>
      <c r="D125" s="8">
        <f t="shared" ref="D125" si="92">C125*(1+IF(D124&gt;$D117-1,$C117,$B117-(($B117-$C117)/($D117-$B124-1))*(C124-$B124)))</f>
        <v>1102500</v>
      </c>
      <c r="E125" s="8">
        <f t="shared" ref="E125" si="93">D125*(1+IF(E124&gt;$D117-1,$C117,$B117-(($B117-$C117)/($D117-$B124-1))*(D124-$B124)))</f>
        <v>1157625</v>
      </c>
      <c r="F125" s="8">
        <f t="shared" ref="F125" si="94">E125*(1+IF(F124&gt;$D117-1,$C117,$B117-(($B117-$C117)/($D117-$B124-1))*(E124-$B124)))</f>
        <v>1215506.25</v>
      </c>
      <c r="G125" s="8">
        <f t="shared" ref="G125" si="95">F125*(1+IF(G124&gt;$D117-1,$C117,$B117-(($B117-$C117)/($D117-$B124-1))*(F124-$B124)))</f>
        <v>1276281.5625</v>
      </c>
      <c r="H125" s="8">
        <f t="shared" ref="H125" si="96">G125*(1+IF(H124&gt;$D117-1,$C117,$B117-(($B117-$C117)/($D117-$B124-1))*(G124-$B124)))</f>
        <v>1340095.640625</v>
      </c>
      <c r="I125" s="8">
        <f t="shared" ref="I125" si="97">H125*(1+IF(I124&gt;$D117-1,$C117,$B117-(($B117-$C117)/($D117-$B124-1))*(H124-$B124)))</f>
        <v>1407100.42265625</v>
      </c>
      <c r="J125" s="8">
        <f t="shared" ref="J125" si="98">I125*(1+IF(J124&gt;$D117-1,$C117,$B117-(($B117-$C117)/($D117-$B124-1))*(I124-$B124)))</f>
        <v>1477455.4437890626</v>
      </c>
      <c r="K125" s="8">
        <f t="shared" ref="K125" si="99">J125*(1+IF(K124&gt;$D117-1,$C117,$B117-(($B117-$C117)/($D117-$B124-1))*(J124-$B124)))</f>
        <v>1551328.2159785158</v>
      </c>
      <c r="L125" s="8"/>
    </row>
    <row r="126" spans="1:12" x14ac:dyDescent="0.3">
      <c r="A126" t="s">
        <v>8</v>
      </c>
      <c r="B126" s="8">
        <f>B125*IF(B124&gt;$D116-1,$C116,$B116)-B119+B120</f>
        <v>115000</v>
      </c>
      <c r="C126" s="8">
        <f>C125*IF(C124&gt;$D116-1,$C116,$B116-(($B116-$C116)/($D116-$B124-1))*(B124-$B124))</f>
        <v>173250</v>
      </c>
      <c r="D126" s="8">
        <f t="shared" ref="D126" si="100">D125*IF(D124&gt;$D116-1,$C116,$B116-(($B116-$C116)/($D116-$B124-1))*(C124-$B124))</f>
        <v>181912.5</v>
      </c>
      <c r="E126" s="8">
        <f t="shared" ref="E126" si="101">E125*IF(E124&gt;$D116-1,$C116,$B116-(($B116-$C116)/($D116-$B124-1))*(D124-$B124))</f>
        <v>191008.125</v>
      </c>
      <c r="F126" s="8">
        <f t="shared" ref="F126" si="102">F125*IF(F124&gt;$D116-1,$C116,$B116-(($B116-$C116)/($D116-$B124-1))*(E124-$B124))</f>
        <v>200558.53125</v>
      </c>
      <c r="G126" s="8">
        <f t="shared" ref="G126" si="103">G125*IF(G124&gt;$D116-1,$C116,$B116-(($B116-$C116)/($D116-$B124-1))*(F124-$B124))</f>
        <v>210586.45781250001</v>
      </c>
      <c r="H126" s="8">
        <f t="shared" ref="H126" si="104">H125*IF(H124&gt;$D116-1,$C116,$B116-(($B116-$C116)/($D116-$B124-1))*(G124-$B124))</f>
        <v>221115.780703125</v>
      </c>
      <c r="I126" s="8">
        <f t="shared" ref="I126" si="105">I125*IF(I124&gt;$D116-1,$C116,$B116-(($B116-$C116)/($D116-$B124-1))*(H124-$B124))</f>
        <v>232171.56973828125</v>
      </c>
      <c r="J126" s="8">
        <f t="shared" ref="J126" si="106">J125*IF(J124&gt;$D116-1,$C116,$B116-(($B116-$C116)/($D116-$B124-1))*(I124-$B124))</f>
        <v>243780.14822519533</v>
      </c>
      <c r="K126" s="8">
        <f t="shared" ref="K126" si="107">K125*IF(K124&gt;$D116-1,$C116,$B116-(($B116-$C116)/($D116-$B124-1))*(J124-$B124))</f>
        <v>255969.15563645511</v>
      </c>
      <c r="L126" s="8"/>
    </row>
    <row r="127" spans="1:12" x14ac:dyDescent="0.3">
      <c r="A127" t="s">
        <v>2</v>
      </c>
      <c r="B127" s="8">
        <f t="shared" ref="B127:K127" si="108">B126*$I117</f>
        <v>34500</v>
      </c>
      <c r="C127" s="8">
        <f t="shared" si="108"/>
        <v>51975</v>
      </c>
      <c r="D127" s="8">
        <f t="shared" si="108"/>
        <v>54573.75</v>
      </c>
      <c r="E127" s="8">
        <f t="shared" si="108"/>
        <v>57302.4375</v>
      </c>
      <c r="F127" s="8">
        <f t="shared" si="108"/>
        <v>60167.559374999997</v>
      </c>
      <c r="G127" s="8">
        <f t="shared" si="108"/>
        <v>63175.937343750003</v>
      </c>
      <c r="H127" s="8">
        <f t="shared" si="108"/>
        <v>66334.734210937502</v>
      </c>
      <c r="I127" s="8">
        <f t="shared" si="108"/>
        <v>69651.470921484375</v>
      </c>
      <c r="J127" s="8">
        <f t="shared" si="108"/>
        <v>73134.04446755859</v>
      </c>
      <c r="K127" s="8">
        <f t="shared" si="108"/>
        <v>76790.746690936532</v>
      </c>
      <c r="L127" s="8"/>
    </row>
    <row r="128" spans="1:12" x14ac:dyDescent="0.3">
      <c r="A128" t="s">
        <v>1</v>
      </c>
      <c r="B128" s="8">
        <f t="shared" ref="B128:K128" si="109">B125*$I116</f>
        <v>5000</v>
      </c>
      <c r="C128" s="8">
        <f t="shared" si="109"/>
        <v>5250</v>
      </c>
      <c r="D128" s="8">
        <f t="shared" si="109"/>
        <v>5512.5</v>
      </c>
      <c r="E128" s="8">
        <f t="shared" si="109"/>
        <v>5788.125</v>
      </c>
      <c r="F128" s="8">
        <f t="shared" si="109"/>
        <v>6077.53125</v>
      </c>
      <c r="G128" s="8">
        <f t="shared" si="109"/>
        <v>6381.4078125000005</v>
      </c>
      <c r="H128" s="8">
        <f t="shared" si="109"/>
        <v>6700.4782031249997</v>
      </c>
      <c r="I128" s="8">
        <f t="shared" si="109"/>
        <v>7035.5021132812499</v>
      </c>
      <c r="J128" s="8">
        <f t="shared" si="109"/>
        <v>7387.2772189453126</v>
      </c>
      <c r="K128" s="8">
        <f t="shared" si="109"/>
        <v>7756.641079892579</v>
      </c>
      <c r="L128" s="8"/>
    </row>
    <row r="129" spans="1:12" x14ac:dyDescent="0.3">
      <c r="A129" t="s">
        <v>3</v>
      </c>
      <c r="B129" s="8">
        <f>B126-B127+B128</f>
        <v>85500</v>
      </c>
      <c r="C129" s="8">
        <f t="shared" ref="C129:K129" si="110">C126-C127+C128</f>
        <v>126525</v>
      </c>
      <c r="D129" s="8">
        <f t="shared" si="110"/>
        <v>132851.25</v>
      </c>
      <c r="E129" s="8">
        <f t="shared" si="110"/>
        <v>139493.8125</v>
      </c>
      <c r="F129" s="8">
        <f t="shared" si="110"/>
        <v>146468.50312499999</v>
      </c>
      <c r="G129" s="8">
        <f t="shared" si="110"/>
        <v>153791.92828125</v>
      </c>
      <c r="H129" s="8">
        <f t="shared" si="110"/>
        <v>161481.52469531249</v>
      </c>
      <c r="I129" s="8">
        <f t="shared" si="110"/>
        <v>169555.60093007813</v>
      </c>
      <c r="J129" s="8">
        <f t="shared" si="110"/>
        <v>178033.38097658206</v>
      </c>
      <c r="K129" s="8">
        <f t="shared" si="110"/>
        <v>186935.05002541115</v>
      </c>
      <c r="L129" s="8">
        <f>(K129*(1+$I119))/($I118-$I119)</f>
        <v>4195653.3450147836</v>
      </c>
    </row>
    <row r="130" spans="1:12" x14ac:dyDescent="0.3">
      <c r="A130" t="s">
        <v>4</v>
      </c>
      <c r="B130" s="8">
        <f>NPV(I118,B129:L129)</f>
        <v>3413162.8708664584</v>
      </c>
      <c r="C130" s="8"/>
      <c r="D130" s="8"/>
      <c r="E130" s="8"/>
      <c r="F130" s="8"/>
      <c r="G130" s="8"/>
      <c r="H130" s="8"/>
      <c r="I130" s="8"/>
      <c r="J130" s="8"/>
      <c r="K130" s="8"/>
      <c r="L130" s="8"/>
    </row>
    <row r="131" spans="1:12" x14ac:dyDescent="0.3">
      <c r="A131" t="s">
        <v>34</v>
      </c>
      <c r="B131" s="8">
        <v>499000</v>
      </c>
      <c r="C131" s="8"/>
      <c r="D131" s="8"/>
      <c r="E131" s="8"/>
      <c r="F131" s="8"/>
      <c r="G131" s="8"/>
      <c r="H131" s="8"/>
      <c r="I131" s="8"/>
      <c r="J131" s="8"/>
      <c r="K131" s="8"/>
      <c r="L131" s="8"/>
    </row>
    <row r="132" spans="1:12" x14ac:dyDescent="0.3">
      <c r="A132" t="s">
        <v>35</v>
      </c>
      <c r="B132" s="8">
        <f>B130-B131</f>
        <v>2914162.8708664584</v>
      </c>
      <c r="C132" s="2"/>
      <c r="D132" s="2"/>
      <c r="E132" s="2"/>
      <c r="F132" s="2"/>
    </row>
    <row r="133" spans="1:12" x14ac:dyDescent="0.3">
      <c r="A133" t="s">
        <v>20</v>
      </c>
      <c r="B133" s="1">
        <f t="shared" ref="B133:K133" si="111">B129/B125</f>
        <v>8.5500000000000007E-2</v>
      </c>
      <c r="C133" s="1">
        <f t="shared" si="111"/>
        <v>0.1205</v>
      </c>
      <c r="D133" s="1">
        <f t="shared" si="111"/>
        <v>0.1205</v>
      </c>
      <c r="E133" s="1">
        <f t="shared" si="111"/>
        <v>0.1205</v>
      </c>
      <c r="F133" s="1">
        <f t="shared" si="111"/>
        <v>0.1205</v>
      </c>
      <c r="G133" s="1">
        <f t="shared" si="111"/>
        <v>0.1205</v>
      </c>
      <c r="H133" s="1">
        <f t="shared" si="111"/>
        <v>0.1205</v>
      </c>
      <c r="I133" s="1">
        <f t="shared" si="111"/>
        <v>0.12050000000000001</v>
      </c>
      <c r="J133" s="1">
        <f t="shared" si="111"/>
        <v>0.12050000000000001</v>
      </c>
      <c r="K133" s="1">
        <f t="shared" si="111"/>
        <v>0.1205</v>
      </c>
      <c r="L133" s="1">
        <f>AVERAGE(B133:K133)</f>
        <v>0.11700000000000002</v>
      </c>
    </row>
    <row r="134" spans="1:12" x14ac:dyDescent="0.3">
      <c r="B134" s="8"/>
    </row>
    <row r="135" spans="1:12" x14ac:dyDescent="0.3">
      <c r="B135" s="8"/>
    </row>
    <row r="136" spans="1:12" x14ac:dyDescent="0.3">
      <c r="B136" s="8"/>
    </row>
    <row r="137" spans="1:12" x14ac:dyDescent="0.3">
      <c r="A137" s="12" t="s">
        <v>36</v>
      </c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</row>
    <row r="139" spans="1:12" x14ac:dyDescent="0.3">
      <c r="C139" s="10" t="s">
        <v>14</v>
      </c>
      <c r="D139" s="11"/>
      <c r="F139" s="10"/>
      <c r="G139" s="11"/>
      <c r="H139" s="11"/>
    </row>
    <row r="140" spans="1:12" x14ac:dyDescent="0.3">
      <c r="A140" s="4" t="s">
        <v>11</v>
      </c>
      <c r="B140" s="9" t="s">
        <v>13</v>
      </c>
      <c r="C140" s="9" t="s">
        <v>17</v>
      </c>
      <c r="D140" s="15" t="s">
        <v>16</v>
      </c>
      <c r="F140" s="7"/>
      <c r="G140" s="7"/>
      <c r="I140" s="7"/>
      <c r="J140" s="7"/>
      <c r="K140" s="7"/>
    </row>
    <row r="141" spans="1:12" x14ac:dyDescent="0.3">
      <c r="A141" t="s">
        <v>9</v>
      </c>
      <c r="B141" s="1">
        <v>0.24</v>
      </c>
      <c r="C141" s="1">
        <v>0.24</v>
      </c>
      <c r="D141">
        <v>2023</v>
      </c>
      <c r="F141" s="1"/>
      <c r="G141" t="s">
        <v>19</v>
      </c>
      <c r="I141" s="1">
        <f>O$2</f>
        <v>5.0000000000000001E-3</v>
      </c>
    </row>
    <row r="142" spans="1:12" x14ac:dyDescent="0.3">
      <c r="A142" t="s">
        <v>5</v>
      </c>
      <c r="B142" s="1">
        <v>0.05</v>
      </c>
      <c r="C142" s="1">
        <v>0.05</v>
      </c>
      <c r="D142">
        <v>2023</v>
      </c>
      <c r="F142" s="1"/>
      <c r="G142" t="s">
        <v>10</v>
      </c>
      <c r="I142" s="1">
        <f>O$3</f>
        <v>0.3</v>
      </c>
    </row>
    <row r="143" spans="1:12" x14ac:dyDescent="0.3">
      <c r="A143" t="s">
        <v>18</v>
      </c>
      <c r="B143" s="8">
        <v>1000000</v>
      </c>
      <c r="F143" s="1"/>
      <c r="G143" t="s">
        <v>6</v>
      </c>
      <c r="I143" s="1">
        <f>O$4</f>
        <v>5.5E-2</v>
      </c>
    </row>
    <row r="144" spans="1:12" x14ac:dyDescent="0.3">
      <c r="A144" t="s">
        <v>21</v>
      </c>
      <c r="B144" s="8">
        <v>50000</v>
      </c>
      <c r="F144" s="1"/>
      <c r="G144" t="s">
        <v>7</v>
      </c>
      <c r="I144" s="1">
        <f>O$5</f>
        <v>0.01</v>
      </c>
    </row>
    <row r="145" spans="1:12" x14ac:dyDescent="0.3">
      <c r="A145" t="s">
        <v>22</v>
      </c>
      <c r="B145" s="8"/>
    </row>
    <row r="147" spans="1:12" x14ac:dyDescent="0.3">
      <c r="C147" s="1"/>
    </row>
    <row r="148" spans="1:12" x14ac:dyDescent="0.3">
      <c r="A148" s="4" t="s">
        <v>26</v>
      </c>
    </row>
    <row r="149" spans="1:12" x14ac:dyDescent="0.3">
      <c r="A149" s="6"/>
      <c r="B149" s="5">
        <v>2019</v>
      </c>
      <c r="C149" s="5">
        <f>B149+1</f>
        <v>2020</v>
      </c>
      <c r="D149" s="5">
        <f t="shared" ref="D149:K149" si="112">C149+1</f>
        <v>2021</v>
      </c>
      <c r="E149" s="5">
        <f t="shared" si="112"/>
        <v>2022</v>
      </c>
      <c r="F149" s="5">
        <f t="shared" si="112"/>
        <v>2023</v>
      </c>
      <c r="G149" s="5">
        <f t="shared" si="112"/>
        <v>2024</v>
      </c>
      <c r="H149" s="5">
        <f t="shared" si="112"/>
        <v>2025</v>
      </c>
      <c r="I149" s="5">
        <f t="shared" si="112"/>
        <v>2026</v>
      </c>
      <c r="J149" s="5">
        <f t="shared" si="112"/>
        <v>2027</v>
      </c>
      <c r="K149" s="5">
        <f t="shared" si="112"/>
        <v>2028</v>
      </c>
      <c r="L149" s="9" t="s">
        <v>12</v>
      </c>
    </row>
    <row r="150" spans="1:12" x14ac:dyDescent="0.3">
      <c r="A150" t="s">
        <v>0</v>
      </c>
      <c r="B150" s="8">
        <f>B143</f>
        <v>1000000</v>
      </c>
      <c r="C150" s="8">
        <f>B150*(1+IF(C149&gt;$D142-1,$C142,$B142-(($B142-$C142)/($D142-$B149-1))*(B149-$B149)))</f>
        <v>1050000</v>
      </c>
      <c r="D150" s="8">
        <f t="shared" ref="D150" si="113">C150*(1+IF(D149&gt;$D142-1,$C142,$B142-(($B142-$C142)/($D142-$B149-1))*(C149-$B149)))</f>
        <v>1102500</v>
      </c>
      <c r="E150" s="8">
        <f t="shared" ref="E150" si="114">D150*(1+IF(E149&gt;$D142-1,$C142,$B142-(($B142-$C142)/($D142-$B149-1))*(D149-$B149)))</f>
        <v>1157625</v>
      </c>
      <c r="F150" s="8">
        <f t="shared" ref="F150" si="115">E150*(1+IF(F149&gt;$D142-1,$C142,$B142-(($B142-$C142)/($D142-$B149-1))*(E149-$B149)))</f>
        <v>1215506.25</v>
      </c>
      <c r="G150" s="8">
        <f t="shared" ref="G150" si="116">F150*(1+IF(G149&gt;$D142-1,$C142,$B142-(($B142-$C142)/($D142-$B149-1))*(F149-$B149)))</f>
        <v>1276281.5625</v>
      </c>
      <c r="H150" s="8">
        <f t="shared" ref="H150" si="117">G150*(1+IF(H149&gt;$D142-1,$C142,$B142-(($B142-$C142)/($D142-$B149-1))*(G149-$B149)))</f>
        <v>1340095.640625</v>
      </c>
      <c r="I150" s="8">
        <f t="shared" ref="I150" si="118">H150*(1+IF(I149&gt;$D142-1,$C142,$B142-(($B142-$C142)/($D142-$B149-1))*(H149-$B149)))</f>
        <v>1407100.42265625</v>
      </c>
      <c r="J150" s="8">
        <f t="shared" ref="J150" si="119">I150*(1+IF(J149&gt;$D142-1,$C142,$B142-(($B142-$C142)/($D142-$B149-1))*(I149-$B149)))</f>
        <v>1477455.4437890626</v>
      </c>
      <c r="K150" s="8">
        <f t="shared" ref="K150" si="120">J150*(1+IF(K149&gt;$D142-1,$C142,$B142-(($B142-$C142)/($D142-$B149-1))*(J149-$B149)))</f>
        <v>1551328.2159785158</v>
      </c>
      <c r="L150" s="8"/>
    </row>
    <row r="151" spans="1:12" x14ac:dyDescent="0.3">
      <c r="A151" t="s">
        <v>8</v>
      </c>
      <c r="B151" s="8">
        <f>B150*IF(B149&gt;$D141-1,$C141,$B141)-B144+B145</f>
        <v>190000</v>
      </c>
      <c r="C151" s="8">
        <f>C150*IF(C149&gt;$D141-1,$C141,$B141-(($B141-$C141)/($D141-$B149-1))*(B149-$B149))</f>
        <v>252000</v>
      </c>
      <c r="D151" s="8">
        <f t="shared" ref="D151" si="121">D150*IF(D149&gt;$D141-1,$C141,$B141-(($B141-$C141)/($D141-$B149-1))*(C149-$B149))</f>
        <v>264600</v>
      </c>
      <c r="E151" s="8">
        <f t="shared" ref="E151" si="122">E150*IF(E149&gt;$D141-1,$C141,$B141-(($B141-$C141)/($D141-$B149-1))*(D149-$B149))</f>
        <v>277830</v>
      </c>
      <c r="F151" s="8">
        <f t="shared" ref="F151" si="123">F150*IF(F149&gt;$D141-1,$C141,$B141-(($B141-$C141)/($D141-$B149-1))*(E149-$B149))</f>
        <v>291721.5</v>
      </c>
      <c r="G151" s="8">
        <f t="shared" ref="G151" si="124">G150*IF(G149&gt;$D141-1,$C141,$B141-(($B141-$C141)/($D141-$B149-1))*(F149-$B149))</f>
        <v>306307.57500000001</v>
      </c>
      <c r="H151" s="8">
        <f t="shared" ref="H151" si="125">H150*IF(H149&gt;$D141-1,$C141,$B141-(($B141-$C141)/($D141-$B149-1))*(G149-$B149))</f>
        <v>321622.95374999999</v>
      </c>
      <c r="I151" s="8">
        <f t="shared" ref="I151" si="126">I150*IF(I149&gt;$D141-1,$C141,$B141-(($B141-$C141)/($D141-$B149-1))*(H149-$B149))</f>
        <v>337704.10143749998</v>
      </c>
      <c r="J151" s="8">
        <f t="shared" ref="J151" si="127">J150*IF(J149&gt;$D141-1,$C141,$B141-(($B141-$C141)/($D141-$B149-1))*(I149-$B149))</f>
        <v>354589.30650937499</v>
      </c>
      <c r="K151" s="8">
        <f t="shared" ref="K151" si="128">K150*IF(K149&gt;$D141-1,$C141,$B141-(($B141-$C141)/($D141-$B149-1))*(J149-$B149))</f>
        <v>372318.77183484379</v>
      </c>
      <c r="L151" s="8"/>
    </row>
    <row r="152" spans="1:12" x14ac:dyDescent="0.3">
      <c r="A152" t="s">
        <v>2</v>
      </c>
      <c r="B152" s="8">
        <f t="shared" ref="B152:K152" si="129">B151*$I142</f>
        <v>57000</v>
      </c>
      <c r="C152" s="8">
        <f t="shared" si="129"/>
        <v>75600</v>
      </c>
      <c r="D152" s="8">
        <f t="shared" si="129"/>
        <v>79380</v>
      </c>
      <c r="E152" s="8">
        <f t="shared" si="129"/>
        <v>83349</v>
      </c>
      <c r="F152" s="8">
        <f t="shared" si="129"/>
        <v>87516.45</v>
      </c>
      <c r="G152" s="8">
        <f t="shared" si="129"/>
        <v>91892.272500000006</v>
      </c>
      <c r="H152" s="8">
        <f t="shared" si="129"/>
        <v>96486.88612499999</v>
      </c>
      <c r="I152" s="8">
        <f t="shared" si="129"/>
        <v>101311.23043124999</v>
      </c>
      <c r="J152" s="8">
        <f t="shared" si="129"/>
        <v>106376.79195281249</v>
      </c>
      <c r="K152" s="8">
        <f t="shared" si="129"/>
        <v>111695.63155045314</v>
      </c>
      <c r="L152" s="8"/>
    </row>
    <row r="153" spans="1:12" x14ac:dyDescent="0.3">
      <c r="A153" t="s">
        <v>1</v>
      </c>
      <c r="B153" s="8">
        <f t="shared" ref="B153:K153" si="130">B150*$I141</f>
        <v>5000</v>
      </c>
      <c r="C153" s="8">
        <f t="shared" si="130"/>
        <v>5250</v>
      </c>
      <c r="D153" s="8">
        <f t="shared" si="130"/>
        <v>5512.5</v>
      </c>
      <c r="E153" s="8">
        <f t="shared" si="130"/>
        <v>5788.125</v>
      </c>
      <c r="F153" s="8">
        <f t="shared" si="130"/>
        <v>6077.53125</v>
      </c>
      <c r="G153" s="8">
        <f t="shared" si="130"/>
        <v>6381.4078125000005</v>
      </c>
      <c r="H153" s="8">
        <f t="shared" si="130"/>
        <v>6700.4782031249997</v>
      </c>
      <c r="I153" s="8">
        <f t="shared" si="130"/>
        <v>7035.5021132812499</v>
      </c>
      <c r="J153" s="8">
        <f t="shared" si="130"/>
        <v>7387.2772189453126</v>
      </c>
      <c r="K153" s="8">
        <f t="shared" si="130"/>
        <v>7756.641079892579</v>
      </c>
      <c r="L153" s="8"/>
    </row>
    <row r="154" spans="1:12" x14ac:dyDescent="0.3">
      <c r="A154" t="s">
        <v>3</v>
      </c>
      <c r="B154" s="8">
        <f>B151-B152+B153</f>
        <v>138000</v>
      </c>
      <c r="C154" s="8">
        <f t="shared" ref="C154:K154" si="131">C151-C152+C153</f>
        <v>181650</v>
      </c>
      <c r="D154" s="8">
        <f t="shared" si="131"/>
        <v>190732.5</v>
      </c>
      <c r="E154" s="8">
        <f t="shared" si="131"/>
        <v>200269.125</v>
      </c>
      <c r="F154" s="8">
        <f t="shared" si="131"/>
        <v>210282.58124999999</v>
      </c>
      <c r="G154" s="8">
        <f t="shared" si="131"/>
        <v>220796.71031249998</v>
      </c>
      <c r="H154" s="8">
        <f t="shared" si="131"/>
        <v>231836.545828125</v>
      </c>
      <c r="I154" s="8">
        <f t="shared" si="131"/>
        <v>243428.37311953123</v>
      </c>
      <c r="J154" s="8">
        <f t="shared" si="131"/>
        <v>255599.79177550782</v>
      </c>
      <c r="K154" s="8">
        <f t="shared" si="131"/>
        <v>268379.78136428323</v>
      </c>
      <c r="L154" s="8">
        <f>(K154*(1+$I144))/($I143-$I144)</f>
        <v>6023635.0928428015</v>
      </c>
    </row>
    <row r="155" spans="1:12" x14ac:dyDescent="0.3">
      <c r="A155" t="s">
        <v>4</v>
      </c>
      <c r="B155" s="8">
        <f>NPV(I143,B154:L154)</f>
        <v>4914679.5254857661</v>
      </c>
      <c r="C155" s="8"/>
      <c r="D155" s="8"/>
      <c r="E155" s="8"/>
      <c r="F155" s="8"/>
      <c r="G155" s="8"/>
      <c r="H155" s="8"/>
      <c r="I155" s="8"/>
      <c r="J155" s="8"/>
      <c r="K155" s="8"/>
      <c r="L155" s="8"/>
    </row>
    <row r="156" spans="1:12" x14ac:dyDescent="0.3">
      <c r="A156" t="s">
        <v>34</v>
      </c>
      <c r="B156" s="8">
        <v>799000</v>
      </c>
      <c r="C156" s="8"/>
      <c r="D156" s="8"/>
      <c r="E156" s="8"/>
      <c r="F156" s="8"/>
      <c r="G156" s="8"/>
      <c r="H156" s="8"/>
      <c r="I156" s="8"/>
      <c r="J156" s="8"/>
      <c r="K156" s="8"/>
      <c r="L156" s="8"/>
    </row>
    <row r="157" spans="1:12" x14ac:dyDescent="0.3">
      <c r="A157" t="s">
        <v>35</v>
      </c>
      <c r="B157" s="8">
        <f>B155-B156</f>
        <v>4115679.5254857661</v>
      </c>
      <c r="C157" s="2"/>
      <c r="D157" s="2"/>
      <c r="E157" s="2"/>
      <c r="F157" s="2"/>
    </row>
    <row r="158" spans="1:12" x14ac:dyDescent="0.3">
      <c r="A158" t="s">
        <v>20</v>
      </c>
      <c r="B158" s="1">
        <f>B154/B150</f>
        <v>0.13800000000000001</v>
      </c>
      <c r="C158" s="1">
        <f>C154/C150</f>
        <v>0.17299999999999999</v>
      </c>
      <c r="D158" s="1">
        <f>D154/D150</f>
        <v>0.17299999999999999</v>
      </c>
      <c r="E158" s="1">
        <f t="shared" ref="E158:K158" si="132">E154/E150</f>
        <v>0.17299999999999999</v>
      </c>
      <c r="F158" s="1">
        <f t="shared" si="132"/>
        <v>0.17299999999999999</v>
      </c>
      <c r="G158" s="1">
        <f t="shared" si="132"/>
        <v>0.17299999999999999</v>
      </c>
      <c r="H158" s="1">
        <f t="shared" si="132"/>
        <v>0.17300000000000001</v>
      </c>
      <c r="I158" s="1">
        <f t="shared" si="132"/>
        <v>0.17299999999999999</v>
      </c>
      <c r="J158" s="1">
        <f t="shared" si="132"/>
        <v>0.17299999999999999</v>
      </c>
      <c r="K158" s="1">
        <f t="shared" si="132"/>
        <v>0.17299999999999999</v>
      </c>
      <c r="L158" s="1">
        <f>AVERAGE(B158:K158)</f>
        <v>0.16950000000000004</v>
      </c>
    </row>
    <row r="159" spans="1:12" x14ac:dyDescent="0.3">
      <c r="B159" s="8"/>
    </row>
    <row r="160" spans="1:12" x14ac:dyDescent="0.3">
      <c r="B160" s="8"/>
    </row>
    <row r="161" spans="1:9" x14ac:dyDescent="0.3">
      <c r="B161" s="8"/>
    </row>
    <row r="163" spans="1:9" x14ac:dyDescent="0.3">
      <c r="A163" s="17" t="s">
        <v>37</v>
      </c>
    </row>
    <row r="164" spans="1:9" x14ac:dyDescent="0.3">
      <c r="B164" s="9" t="s">
        <v>0</v>
      </c>
      <c r="C164" s="9" t="s">
        <v>38</v>
      </c>
      <c r="D164" s="9" t="s">
        <v>39</v>
      </c>
      <c r="E164" s="9" t="s">
        <v>40</v>
      </c>
      <c r="F164" s="9" t="s">
        <v>41</v>
      </c>
      <c r="G164" s="9" t="s">
        <v>42</v>
      </c>
      <c r="H164" s="9" t="s">
        <v>43</v>
      </c>
      <c r="I164" s="9" t="s">
        <v>44</v>
      </c>
    </row>
    <row r="165" spans="1:9" x14ac:dyDescent="0.3">
      <c r="A165" t="s">
        <v>45</v>
      </c>
      <c r="B165" s="18">
        <v>1006499</v>
      </c>
      <c r="C165" s="19">
        <v>224860</v>
      </c>
      <c r="D165">
        <v>10</v>
      </c>
      <c r="E165">
        <v>12</v>
      </c>
      <c r="F165" s="20">
        <f t="shared" ref="F165:F173" si="133">B165/E165</f>
        <v>83874.916666666672</v>
      </c>
      <c r="G165" s="1">
        <f t="shared" ref="G165:G173" si="134">C165/B165</f>
        <v>0.223408070946916</v>
      </c>
      <c r="H165" s="19">
        <v>799000</v>
      </c>
      <c r="I165" s="1">
        <f>H165/B165</f>
        <v>0.79384082845586534</v>
      </c>
    </row>
    <row r="166" spans="1:9" x14ac:dyDescent="0.3">
      <c r="A166" t="s">
        <v>45</v>
      </c>
      <c r="B166" s="19">
        <v>641836</v>
      </c>
      <c r="C166" s="19">
        <v>85546</v>
      </c>
      <c r="D166">
        <v>6</v>
      </c>
      <c r="E166">
        <v>6</v>
      </c>
      <c r="F166" s="20">
        <f t="shared" si="133"/>
        <v>106972.66666666667</v>
      </c>
      <c r="G166" s="1">
        <f t="shared" si="134"/>
        <v>0.13328326862313739</v>
      </c>
      <c r="H166" s="19">
        <v>399000</v>
      </c>
      <c r="I166" s="1">
        <f t="shared" ref="I166:I173" si="135">H166/B166</f>
        <v>0.62165412971537903</v>
      </c>
    </row>
    <row r="167" spans="1:9" x14ac:dyDescent="0.3">
      <c r="A167" t="s">
        <v>46</v>
      </c>
      <c r="B167" s="19">
        <v>1474025</v>
      </c>
      <c r="C167" s="20">
        <v>268624</v>
      </c>
      <c r="D167">
        <v>7</v>
      </c>
      <c r="E167">
        <v>8</v>
      </c>
      <c r="F167" s="20">
        <f t="shared" si="133"/>
        <v>184253.125</v>
      </c>
      <c r="G167" s="1">
        <f t="shared" si="134"/>
        <v>0.18223842879191329</v>
      </c>
      <c r="H167" s="21">
        <v>1350000</v>
      </c>
      <c r="I167" s="1">
        <f t="shared" si="135"/>
        <v>0.9158596360305965</v>
      </c>
    </row>
    <row r="168" spans="1:9" x14ac:dyDescent="0.3">
      <c r="A168" t="s">
        <v>47</v>
      </c>
      <c r="B168" s="19">
        <v>1305433</v>
      </c>
      <c r="C168" s="19">
        <v>253024</v>
      </c>
      <c r="D168">
        <v>6</v>
      </c>
      <c r="E168">
        <v>8</v>
      </c>
      <c r="F168" s="20">
        <f t="shared" si="133"/>
        <v>163179.125</v>
      </c>
      <c r="G168" s="1">
        <f t="shared" si="134"/>
        <v>0.1938238117161126</v>
      </c>
      <c r="H168" s="21">
        <v>1375000</v>
      </c>
      <c r="I168" s="1">
        <f t="shared" si="135"/>
        <v>1.0532903641933367</v>
      </c>
    </row>
    <row r="169" spans="1:9" x14ac:dyDescent="0.3">
      <c r="A169" t="s">
        <v>48</v>
      </c>
      <c r="B169" s="19">
        <v>1184256</v>
      </c>
      <c r="C169" s="19">
        <v>203484</v>
      </c>
      <c r="D169">
        <v>12</v>
      </c>
      <c r="E169">
        <v>14</v>
      </c>
      <c r="F169" s="20">
        <f t="shared" si="133"/>
        <v>84589.71428571429</v>
      </c>
      <c r="G169" s="1">
        <f t="shared" si="134"/>
        <v>0.17182433527885863</v>
      </c>
      <c r="H169" s="21">
        <v>1150000</v>
      </c>
      <c r="I169" s="1">
        <f t="shared" si="135"/>
        <v>0.97107382187635105</v>
      </c>
    </row>
    <row r="170" spans="1:9" x14ac:dyDescent="0.3">
      <c r="A170" t="s">
        <v>49</v>
      </c>
      <c r="B170" s="19">
        <v>964778</v>
      </c>
      <c r="C170" s="19">
        <v>126059</v>
      </c>
      <c r="D170">
        <v>12</v>
      </c>
      <c r="E170">
        <v>12</v>
      </c>
      <c r="F170" s="20">
        <f t="shared" si="133"/>
        <v>80398.166666666672</v>
      </c>
      <c r="G170" s="1">
        <f t="shared" si="134"/>
        <v>0.1306611469167</v>
      </c>
      <c r="H170" s="19">
        <v>675000</v>
      </c>
      <c r="I170" s="1">
        <f t="shared" si="135"/>
        <v>0.6996428193843558</v>
      </c>
    </row>
    <row r="171" spans="1:9" x14ac:dyDescent="0.3">
      <c r="A171" t="s">
        <v>49</v>
      </c>
      <c r="B171" s="19">
        <v>955442</v>
      </c>
      <c r="C171" s="19">
        <v>136365</v>
      </c>
      <c r="D171">
        <v>12</v>
      </c>
      <c r="E171">
        <v>12</v>
      </c>
      <c r="F171" s="20">
        <f t="shared" si="133"/>
        <v>79620.166666666672</v>
      </c>
      <c r="G171" s="1">
        <f t="shared" si="134"/>
        <v>0.14272451912308648</v>
      </c>
      <c r="H171" s="19">
        <v>699000</v>
      </c>
      <c r="I171" s="1">
        <f t="shared" si="135"/>
        <v>0.73159856903925091</v>
      </c>
    </row>
    <row r="172" spans="1:9" x14ac:dyDescent="0.3">
      <c r="A172" t="s">
        <v>49</v>
      </c>
      <c r="B172" s="19">
        <v>1119534</v>
      </c>
      <c r="C172" s="19">
        <v>218552</v>
      </c>
      <c r="D172">
        <v>10</v>
      </c>
      <c r="E172">
        <v>6</v>
      </c>
      <c r="F172" s="20">
        <f t="shared" si="133"/>
        <v>186589</v>
      </c>
      <c r="G172" s="1">
        <f t="shared" si="134"/>
        <v>0.1952169384761874</v>
      </c>
      <c r="H172" s="19">
        <v>779000</v>
      </c>
      <c r="I172" s="1">
        <f t="shared" si="135"/>
        <v>0.69582522728206553</v>
      </c>
    </row>
    <row r="173" spans="1:9" x14ac:dyDescent="0.3">
      <c r="A173" t="s">
        <v>50</v>
      </c>
      <c r="B173" s="19">
        <v>1068392</v>
      </c>
      <c r="C173" s="19">
        <v>137153</v>
      </c>
      <c r="D173">
        <v>15</v>
      </c>
      <c r="E173">
        <v>17</v>
      </c>
      <c r="F173" s="20">
        <f t="shared" si="133"/>
        <v>62846.588235294119</v>
      </c>
      <c r="G173" s="1">
        <f t="shared" si="134"/>
        <v>0.12837329369744438</v>
      </c>
      <c r="H173" s="19">
        <v>499000</v>
      </c>
      <c r="I173" s="1">
        <f t="shared" si="135"/>
        <v>0.46705703524549042</v>
      </c>
    </row>
    <row r="174" spans="1:9" x14ac:dyDescent="0.3">
      <c r="B174" s="19"/>
    </row>
    <row r="178" spans="6:7" x14ac:dyDescent="0.3">
      <c r="F178" s="20"/>
      <c r="G178" s="20"/>
    </row>
  </sheetData>
  <conditionalFormatting sqref="K8">
    <cfRule type="cellIs" dxfId="5" priority="1" operator="lessThan">
      <formula>1</formula>
    </cfRule>
    <cfRule type="cellIs" dxfId="4" priority="2" operator="greaterThan">
      <formula>1</formula>
    </cfRule>
    <cfRule type="cellIs" dxfId="3" priority="3" operator="equal">
      <formula>1</formula>
    </cfRule>
  </conditionalFormatting>
  <conditionalFormatting sqref="F8">
    <cfRule type="cellIs" dxfId="2" priority="4" operator="lessThan">
      <formula>1</formula>
    </cfRule>
    <cfRule type="cellIs" dxfId="1" priority="5" operator="greaterThan">
      <formula>1</formula>
    </cfRule>
    <cfRule type="cellIs" dxfId="0" priority="6" operator="equal">
      <formula>1</formula>
    </cfRule>
  </conditionalFormatting>
  <hyperlinks>
    <hyperlink ref="A163" r:id="rId1" display="FedEx Routes for Sale ()"/>
  </hyperlinks>
  <pageMargins left="0.7" right="0.7" top="0.75" bottom="0.75" header="0.3" footer="0.3"/>
  <pageSetup orientation="portrait" verticalDpi="0"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showGridLines="0" workbookViewId="0">
      <selection activeCell="A3" sqref="A3"/>
    </sheetView>
  </sheetViews>
  <sheetFormatPr defaultRowHeight="14.4" x14ac:dyDescent="0.3"/>
  <sheetData>
    <row r="1" spans="1:10" x14ac:dyDescent="0.3">
      <c r="A1" s="22" t="s">
        <v>23</v>
      </c>
      <c r="B1" s="22"/>
      <c r="C1" s="22"/>
      <c r="D1" s="22"/>
      <c r="E1" s="22"/>
      <c r="F1" s="22"/>
      <c r="G1" s="22"/>
      <c r="H1" s="22"/>
      <c r="I1" s="22"/>
      <c r="J1" s="22"/>
    </row>
  </sheetData>
  <pageMargins left="0.7" right="0.7" top="0.75" bottom="0.75" header="0.3" footer="0.3"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Amazon DSP Scenarios</vt:lpstr>
      <vt:lpstr>Amazon DSP Tree</vt:lpstr>
    </vt:vector>
  </TitlesOfParts>
  <Company>Wisconsin School of Business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 Coff</dc:creator>
  <cp:lastModifiedBy>Russ Coff</cp:lastModifiedBy>
  <dcterms:created xsi:type="dcterms:W3CDTF">2018-07-20T18:11:36Z</dcterms:created>
  <dcterms:modified xsi:type="dcterms:W3CDTF">2019-07-24T19:09:34Z</dcterms:modified>
</cp:coreProperties>
</file>