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uss Coff\Box\Teaching\Class-ExecMBAstrat\Cases\"/>
    </mc:Choice>
  </mc:AlternateContent>
  <xr:revisionPtr revIDLastSave="0" documentId="13_ncr:1_{845CD4CF-5EB9-4CF3-B7BA-9BA6C9804F90}" xr6:coauthVersionLast="45" xr6:coauthVersionMax="45" xr10:uidLastSave="{00000000-0000-0000-0000-000000000000}"/>
  <bookViews>
    <workbookView xWindow="6315" yWindow="2505" windowWidth="21600" windowHeight="11385" xr2:uid="{00000000-000D-0000-FFFF-FFFF00000000}"/>
  </bookViews>
  <sheets>
    <sheet name="ZoomScenarios" sheetId="2" r:id="rId1"/>
    <sheet name="ZoomFinancials" sheetId="1" r:id="rId2"/>
    <sheet name="ZoomTree" sheetId="3" r:id="rId3"/>
    <sheet name="Sensitivity" sheetId="6" r:id="rId4"/>
    <sheet name="SandBox" sheetId="7" r:id="rId5"/>
    <sheet name="treeCalc_3" sheetId="8" state="hidden" r:id="rId6"/>
    <sheet name="treeCalc_2" sheetId="5" state="hidden" r:id="rId7"/>
    <sheet name="treeCalc_1" sheetId="4" state="hidden" r:id="rId8"/>
  </sheets>
  <externalReferences>
    <externalReference r:id="rId9"/>
  </externalReferences>
  <definedNames>
    <definedName name="PTree_SensitivityAnalysis_AnalysisType" hidden="1">1</definedName>
    <definedName name="PTree_SensitivityAnalysis_GraphsDisplayPercentageChange" hidden="1">FALSE</definedName>
    <definedName name="PTree_SensitivityAnalysis_IncludeSensitivityGraph" hidden="1">TRUE</definedName>
    <definedName name="PTree_SensitivityAnalysis_IncludeSpiderGraph" hidden="1">TRUE</definedName>
    <definedName name="PTree_SensitivityAnalysis_IncludeStrategyRegion" hidden="1">TRUE</definedName>
    <definedName name="PTree_SensitivityAnalysis_IncludeTornadoGraph" hidden="1">TRUE</definedName>
    <definedName name="PTree_SensitivityAnalysis_Inputs_1_AlternateCellLabel" hidden="1">"ZoomInnovate"</definedName>
    <definedName name="PTree_SensitivityAnalysis_Inputs_1_BaseValueIsAutomatic" hidden="1">TRUE</definedName>
    <definedName name="PTree_SensitivityAnalysis_Inputs_1_MaintainProbabilityNormalization" hidden="1">FALSE</definedName>
    <definedName name="PTree_SensitivityAnalysis_Inputs_1_ManualBaseValue" hidden="1">0</definedName>
    <definedName name="PTree_SensitivityAnalysis_Inputs_1_Maximum" hidden="1">0.9</definedName>
    <definedName name="PTree_SensitivityAnalysis_Inputs_1_Minimum" hidden="1">0.1</definedName>
    <definedName name="PTree_SensitivityAnalysis_Inputs_1_OneWayAnalysis" hidden="1">1</definedName>
    <definedName name="PTree_SensitivityAnalysis_Inputs_1_Steps" hidden="1">10</definedName>
    <definedName name="PTree_SensitivityAnalysis_Inputs_1_TwoWayAnalysis" hidden="1">1</definedName>
    <definedName name="PTree_SensitivityAnalysis_Inputs_1_VariationMethod" hidden="1">2</definedName>
    <definedName name="PTree_SensitivityAnalysis_Inputs_1_VaryCell" hidden="1">ZoomTree!$E$66</definedName>
    <definedName name="PTree_SensitivityAnalysis_Inputs_2_AlternateCellLabel" hidden="1">"RivalInnovate"</definedName>
    <definedName name="PTree_SensitivityAnalysis_Inputs_2_BaseValueIsAutomatic" hidden="1">TRUE</definedName>
    <definedName name="PTree_SensitivityAnalysis_Inputs_2_MaintainProbabilityNormalization" hidden="1">FALSE</definedName>
    <definedName name="PTree_SensitivityAnalysis_Inputs_2_ManualBaseValue" hidden="1">0</definedName>
    <definedName name="PTree_SensitivityAnalysis_Inputs_2_Maximum" hidden="1">0.9</definedName>
    <definedName name="PTree_SensitivityAnalysis_Inputs_2_Minimum" hidden="1">0.1</definedName>
    <definedName name="PTree_SensitivityAnalysis_Inputs_2_OneWayAnalysis" hidden="1">1</definedName>
    <definedName name="PTree_SensitivityAnalysis_Inputs_2_Steps" hidden="1">10</definedName>
    <definedName name="PTree_SensitivityAnalysis_Inputs_2_TwoWayAnalysis" hidden="1">2</definedName>
    <definedName name="PTree_SensitivityAnalysis_Inputs_2_VariationMethod" hidden="1">2</definedName>
    <definedName name="PTree_SensitivityAnalysis_Inputs_2_VaryCell" hidden="1">ZoomTree!$C$72</definedName>
    <definedName name="PTree_SensitivityAnalysis_Inputs_Count" hidden="1">2</definedName>
    <definedName name="PTree_SensitivityAnalysis_Output_AlternateCellLabel" hidden="1">""</definedName>
    <definedName name="PTree_SensitivityAnalysis_Output_Model" hidden="1">PTreeObjectReference(PTDecisionTree_1,treeCalc_1!$A$1)</definedName>
    <definedName name="PTree_SensitivityAnalysis_Output_OutputType" hidden="1">1</definedName>
    <definedName name="PTree_SensitivityAnalysis_Output_StartingNode" hidden="1">PTreeObjectReference(NULL,NULL)</definedName>
    <definedName name="PTree_SensitivityAnalysis_ReportPlacement" hidden="1">1</definedName>
    <definedName name="PTree_SensitivityAnalysis_UpdateDisplay" hidden="1">FALSE</definedName>
    <definedName name="treeList" hidden="1">"11100000000000000000000000000000000000000000000000000000000000000000000000000000000000000000000000000000000000000000000000000000000000000000000000000000000000000000000000000000000000000000000000000000"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7" i="8" l="1"/>
  <c r="K16" i="8"/>
  <c r="J16" i="8"/>
  <c r="J13" i="8"/>
  <c r="O13" i="8"/>
  <c r="C14" i="7"/>
  <c r="K17" i="8" s="1"/>
  <c r="C6" i="7"/>
  <c r="K15" i="8"/>
  <c r="J15" i="8"/>
  <c r="K14" i="8"/>
  <c r="J14" i="8"/>
  <c r="J12" i="8"/>
  <c r="O12" i="8"/>
  <c r="K11" i="8"/>
  <c r="J11" i="8"/>
  <c r="O11" i="8"/>
  <c r="B11" i="8"/>
  <c r="B2" i="8"/>
  <c r="F2" i="8"/>
  <c r="D2" i="7"/>
  <c r="B4" i="7"/>
  <c r="D14" i="7"/>
  <c r="D15" i="7"/>
  <c r="C5" i="7"/>
  <c r="D11" i="7"/>
  <c r="B9" i="7"/>
  <c r="D6" i="7"/>
  <c r="D3" i="7"/>
  <c r="B12" i="7"/>
  <c r="D7" i="7"/>
  <c r="C13" i="7"/>
  <c r="D10" i="7"/>
  <c r="A13" i="8" l="1"/>
  <c r="A17" i="8"/>
  <c r="A16" i="8"/>
  <c r="A15" i="8"/>
  <c r="A14" i="8"/>
  <c r="A12" i="8"/>
  <c r="A11" i="8"/>
  <c r="C72" i="3"/>
  <c r="E66" i="3"/>
  <c r="O24" i="1" l="1"/>
  <c r="N24" i="1"/>
  <c r="M24" i="1"/>
  <c r="L24" i="1"/>
  <c r="F24" i="1"/>
  <c r="O20" i="1"/>
  <c r="N20" i="1"/>
  <c r="M20" i="1"/>
  <c r="L20" i="1"/>
  <c r="F20" i="1" s="1"/>
  <c r="O18" i="1"/>
  <c r="N18" i="1"/>
  <c r="M18" i="1"/>
  <c r="L18" i="1"/>
  <c r="F18" i="1" s="1"/>
  <c r="O15" i="1"/>
  <c r="N15" i="1"/>
  <c r="M15" i="1"/>
  <c r="L15" i="1"/>
  <c r="F15" i="1" s="1"/>
  <c r="O7" i="1"/>
  <c r="O8" i="1" s="1"/>
  <c r="N7" i="1"/>
  <c r="N8" i="1" s="1"/>
  <c r="M7" i="1"/>
  <c r="M8" i="1" s="1"/>
  <c r="L7" i="1"/>
  <c r="L8" i="1" s="1"/>
  <c r="P5" i="1"/>
  <c r="F5" i="1" s="1"/>
  <c r="N5" i="1"/>
  <c r="M5" i="1"/>
  <c r="L5" i="1"/>
  <c r="C98" i="3"/>
  <c r="O7" i="2"/>
  <c r="O6" i="2"/>
  <c r="D68" i="3"/>
  <c r="D84" i="3" s="1"/>
  <c r="E90" i="3"/>
  <c r="P4" i="2"/>
  <c r="E74" i="3" l="1"/>
  <c r="F8" i="1"/>
  <c r="E82" i="3"/>
  <c r="B8" i="3"/>
  <c r="C4" i="3"/>
  <c r="C20" i="3" s="1"/>
  <c r="D2" i="3"/>
  <c r="C99" i="3"/>
  <c r="C103" i="3"/>
  <c r="P7" i="2"/>
  <c r="P3" i="2"/>
  <c r="G8" i="2"/>
  <c r="F8" i="2" s="1"/>
  <c r="L4" i="2"/>
  <c r="G9" i="2" s="1"/>
  <c r="F9" i="2" s="1"/>
  <c r="L3" i="2"/>
  <c r="G5" i="2" s="1"/>
  <c r="F5" i="2" s="1"/>
  <c r="L2" i="2"/>
  <c r="G7" i="2" s="1"/>
  <c r="F7" i="2" s="1"/>
  <c r="D18" i="3" l="1"/>
  <c r="D26" i="3"/>
  <c r="K24" i="5" s="1"/>
  <c r="D10" i="3"/>
  <c r="K17" i="5" s="1"/>
  <c r="O8" i="2"/>
  <c r="E11" i="2" s="1"/>
  <c r="G4" i="2"/>
  <c r="F4" i="2" s="1"/>
  <c r="G6" i="2"/>
  <c r="F6" i="2" s="1"/>
  <c r="G3" i="2"/>
  <c r="F3" i="2" s="1"/>
  <c r="G2" i="2"/>
  <c r="F2" i="2" s="1"/>
  <c r="J23" i="5"/>
  <c r="O23" i="5"/>
  <c r="K21" i="5"/>
  <c r="K20" i="5"/>
  <c r="J20" i="5"/>
  <c r="O20" i="5"/>
  <c r="J19" i="5"/>
  <c r="O19" i="5"/>
  <c r="J16" i="5"/>
  <c r="O16" i="5"/>
  <c r="K14" i="5"/>
  <c r="K13" i="5"/>
  <c r="J13" i="5"/>
  <c r="O13" i="5"/>
  <c r="K12" i="5"/>
  <c r="J12" i="5"/>
  <c r="O12" i="5"/>
  <c r="K11" i="5"/>
  <c r="J11" i="5"/>
  <c r="O11" i="5"/>
  <c r="D30" i="3"/>
  <c r="K25" i="5" s="1"/>
  <c r="C28" i="3"/>
  <c r="K23" i="5" s="1"/>
  <c r="B24" i="3"/>
  <c r="K19" i="5" s="1"/>
  <c r="D22" i="3"/>
  <c r="K22" i="5" s="1"/>
  <c r="C12" i="3"/>
  <c r="K16" i="5" s="1"/>
  <c r="D6" i="3"/>
  <c r="K15" i="5" s="1"/>
  <c r="B11" i="5"/>
  <c r="B2" i="5"/>
  <c r="K28" i="4"/>
  <c r="O19" i="4"/>
  <c r="E94" i="3"/>
  <c r="K29" i="4" s="1"/>
  <c r="K26" i="4"/>
  <c r="K18" i="4"/>
  <c r="O18" i="4"/>
  <c r="E86" i="3"/>
  <c r="K27" i="4" s="1"/>
  <c r="K24" i="4"/>
  <c r="O17" i="4"/>
  <c r="E78" i="3"/>
  <c r="K25" i="4" s="1"/>
  <c r="E70" i="3"/>
  <c r="K23" i="4" s="1"/>
  <c r="K22" i="4"/>
  <c r="K16" i="4"/>
  <c r="O16" i="4"/>
  <c r="D14" i="3" l="1"/>
  <c r="K18" i="5" s="1"/>
  <c r="A8" i="2"/>
  <c r="A7" i="2"/>
  <c r="A5" i="2"/>
  <c r="B175" i="2"/>
  <c r="C174" i="2"/>
  <c r="D174" i="2" s="1"/>
  <c r="E174" i="2" s="1"/>
  <c r="F174" i="2" s="1"/>
  <c r="G174" i="2" s="1"/>
  <c r="H174" i="2" s="1"/>
  <c r="I174" i="2" s="1"/>
  <c r="J174" i="2" s="1"/>
  <c r="K174" i="2" s="1"/>
  <c r="B151" i="2"/>
  <c r="C150" i="2"/>
  <c r="D150" i="2" s="1"/>
  <c r="E150" i="2" s="1"/>
  <c r="F150" i="2" s="1"/>
  <c r="G150" i="2" s="1"/>
  <c r="H150" i="2" s="1"/>
  <c r="I150" i="2" s="1"/>
  <c r="J150" i="2" s="1"/>
  <c r="K150" i="2" s="1"/>
  <c r="B103" i="2"/>
  <c r="C102" i="2"/>
  <c r="D102" i="2" s="1"/>
  <c r="E102" i="2" s="1"/>
  <c r="F102" i="2" s="1"/>
  <c r="G102" i="2" s="1"/>
  <c r="H102" i="2" s="1"/>
  <c r="I102" i="2" s="1"/>
  <c r="J102" i="2" s="1"/>
  <c r="K102" i="2" s="1"/>
  <c r="C102" i="3" l="1"/>
  <c r="K21" i="4" s="1"/>
  <c r="K20" i="4"/>
  <c r="J13" i="4"/>
  <c r="O13" i="4"/>
  <c r="J21" i="4"/>
  <c r="J15" i="4"/>
  <c r="O15" i="4"/>
  <c r="D92" i="3"/>
  <c r="K19" i="4" s="1"/>
  <c r="D76" i="3"/>
  <c r="K17" i="4" s="1"/>
  <c r="K14" i="4"/>
  <c r="J14" i="4"/>
  <c r="O14" i="4"/>
  <c r="C88" i="3"/>
  <c r="K15" i="4" s="1"/>
  <c r="J12" i="4"/>
  <c r="O12" i="4"/>
  <c r="K11" i="4"/>
  <c r="J11" i="4"/>
  <c r="O11" i="4"/>
  <c r="B11" i="4"/>
  <c r="B2" i="4"/>
  <c r="J20" i="4" l="1"/>
  <c r="B200" i="2"/>
  <c r="C199" i="2"/>
  <c r="D199" i="2" s="1"/>
  <c r="E199" i="2" s="1"/>
  <c r="F199" i="2" s="1"/>
  <c r="G199" i="2" s="1"/>
  <c r="H199" i="2" s="1"/>
  <c r="I199" i="2" s="1"/>
  <c r="J199" i="2" s="1"/>
  <c r="K199" i="2" s="1"/>
  <c r="B127" i="2"/>
  <c r="C126" i="2"/>
  <c r="D126" i="2" s="1"/>
  <c r="E126" i="2" s="1"/>
  <c r="F126" i="2" s="1"/>
  <c r="G126" i="2" s="1"/>
  <c r="H126" i="2" s="1"/>
  <c r="I126" i="2" s="1"/>
  <c r="J126" i="2" s="1"/>
  <c r="K126" i="2" s="1"/>
  <c r="B79" i="2"/>
  <c r="C78" i="2"/>
  <c r="D78" i="2" s="1"/>
  <c r="E78" i="2" s="1"/>
  <c r="F78" i="2" s="1"/>
  <c r="G78" i="2" s="1"/>
  <c r="H78" i="2" s="1"/>
  <c r="I78" i="2" s="1"/>
  <c r="J78" i="2" s="1"/>
  <c r="K78" i="2" s="1"/>
  <c r="B54" i="2"/>
  <c r="C53" i="2"/>
  <c r="D53" i="2" s="1"/>
  <c r="E53" i="2" s="1"/>
  <c r="F53" i="2" s="1"/>
  <c r="G53" i="2" s="1"/>
  <c r="H53" i="2" s="1"/>
  <c r="I53" i="2" s="1"/>
  <c r="J53" i="2" s="1"/>
  <c r="K53" i="2" s="1"/>
  <c r="B29" i="2"/>
  <c r="E20" i="1"/>
  <c r="D20" i="1"/>
  <c r="C20" i="1"/>
  <c r="B20" i="1"/>
  <c r="E24" i="1"/>
  <c r="D24" i="1"/>
  <c r="C24" i="1"/>
  <c r="B24" i="1"/>
  <c r="E18" i="1"/>
  <c r="D18" i="1"/>
  <c r="C18" i="1"/>
  <c r="B18" i="1"/>
  <c r="D5" i="1"/>
  <c r="C5" i="1"/>
  <c r="B5" i="1"/>
  <c r="E7" i="1"/>
  <c r="E8" i="1" s="1"/>
  <c r="D7" i="1"/>
  <c r="D8" i="1" s="1"/>
  <c r="C7" i="1"/>
  <c r="C8" i="1" s="1"/>
  <c r="B7" i="1"/>
  <c r="B8" i="1" s="1"/>
  <c r="G18" i="1" l="1"/>
  <c r="I18" i="1"/>
  <c r="H18" i="1"/>
  <c r="H24" i="1"/>
  <c r="H193" i="2" s="1"/>
  <c r="G24" i="1"/>
  <c r="I24" i="1"/>
  <c r="H20" i="1"/>
  <c r="G20" i="1"/>
  <c r="G48" i="2" s="1"/>
  <c r="I20" i="1"/>
  <c r="I8" i="1"/>
  <c r="H8" i="1"/>
  <c r="G8" i="1"/>
  <c r="H5" i="1"/>
  <c r="I5" i="1"/>
  <c r="G5" i="1"/>
  <c r="G167" i="2" s="1"/>
  <c r="G95" i="2"/>
  <c r="F120" i="2"/>
  <c r="C120" i="2" s="1"/>
  <c r="B130" i="2" s="1"/>
  <c r="F121" i="2"/>
  <c r="C121" i="2" s="1"/>
  <c r="F23" i="2"/>
  <c r="C23" i="2" s="1"/>
  <c r="F73" i="2"/>
  <c r="C73" i="2" s="1"/>
  <c r="F194" i="2"/>
  <c r="C194" i="2" s="1"/>
  <c r="F48" i="2"/>
  <c r="C48" i="2" s="1"/>
  <c r="G71" i="2"/>
  <c r="G46" i="2"/>
  <c r="G119" i="2"/>
  <c r="G192" i="2"/>
  <c r="G21" i="2"/>
  <c r="B14" i="1"/>
  <c r="B15" i="1" s="1"/>
  <c r="E14" i="1"/>
  <c r="E15" i="1" s="1"/>
  <c r="C14" i="1"/>
  <c r="C15" i="1" s="1"/>
  <c r="D14" i="1"/>
  <c r="D15" i="1" s="1"/>
  <c r="F10" i="2"/>
  <c r="A9" i="2"/>
  <c r="A6" i="2"/>
  <c r="A4" i="2"/>
  <c r="A3" i="2"/>
  <c r="A2" i="2"/>
  <c r="H22" i="2" l="1"/>
  <c r="H72" i="2"/>
  <c r="H120" i="2"/>
  <c r="H47" i="2"/>
  <c r="G143" i="2"/>
  <c r="I15" i="1"/>
  <c r="G15" i="1"/>
  <c r="H15" i="1"/>
  <c r="F96" i="2"/>
  <c r="C96" i="2" s="1"/>
  <c r="B106" i="2" s="1"/>
  <c r="F168" i="2"/>
  <c r="C168" i="2" s="1"/>
  <c r="B178" i="2" s="1"/>
  <c r="F144" i="2"/>
  <c r="C144" i="2" s="1"/>
  <c r="B154" i="2" s="1"/>
  <c r="G144" i="2"/>
  <c r="G168" i="2"/>
  <c r="G96" i="2"/>
  <c r="H167" i="2"/>
  <c r="H95" i="2"/>
  <c r="H143" i="2"/>
  <c r="F22" i="2"/>
  <c r="C22" i="2" s="1"/>
  <c r="F193" i="2"/>
  <c r="C193" i="2" s="1"/>
  <c r="B203" i="2" s="1"/>
  <c r="G23" i="2"/>
  <c r="G97" i="2"/>
  <c r="G145" i="2"/>
  <c r="G169" i="2"/>
  <c r="F143" i="2"/>
  <c r="C143" i="2" s="1"/>
  <c r="C151" i="2" s="1"/>
  <c r="F167" i="2"/>
  <c r="C167" i="2" s="1"/>
  <c r="C175" i="2" s="1"/>
  <c r="F95" i="2"/>
  <c r="C95" i="2" s="1"/>
  <c r="C103" i="2" s="1"/>
  <c r="F72" i="2"/>
  <c r="C72" i="2" s="1"/>
  <c r="B82" i="2" s="1"/>
  <c r="H48" i="2"/>
  <c r="H145" i="2"/>
  <c r="H169" i="2"/>
  <c r="H97" i="2"/>
  <c r="F47" i="2"/>
  <c r="C47" i="2" s="1"/>
  <c r="B57" i="2" s="1"/>
  <c r="G73" i="2"/>
  <c r="H96" i="2"/>
  <c r="H168" i="2"/>
  <c r="H144" i="2"/>
  <c r="F169" i="2"/>
  <c r="C169" i="2" s="1"/>
  <c r="F145" i="2"/>
  <c r="C145" i="2" s="1"/>
  <c r="F97" i="2"/>
  <c r="C97" i="2" s="1"/>
  <c r="G121" i="2"/>
  <c r="G194" i="2"/>
  <c r="F70" i="2"/>
  <c r="C70" i="2" s="1"/>
  <c r="B80" i="2" s="1"/>
  <c r="B81" i="2" s="1"/>
  <c r="H73" i="2"/>
  <c r="H23" i="2"/>
  <c r="H194" i="2"/>
  <c r="H121" i="2"/>
  <c r="H119" i="2"/>
  <c r="H46" i="2"/>
  <c r="H21" i="2"/>
  <c r="H71" i="2"/>
  <c r="H192" i="2"/>
  <c r="F46" i="2"/>
  <c r="C46" i="2" s="1"/>
  <c r="C54" i="2" s="1"/>
  <c r="F21" i="2"/>
  <c r="C21" i="2" s="1"/>
  <c r="F192" i="2"/>
  <c r="C192" i="2" s="1"/>
  <c r="C200" i="2" s="1"/>
  <c r="D200" i="2" s="1"/>
  <c r="F71" i="2"/>
  <c r="C71" i="2" s="1"/>
  <c r="C79" i="2" s="1"/>
  <c r="F119" i="2"/>
  <c r="C119" i="2" s="1"/>
  <c r="C127" i="2" s="1"/>
  <c r="D127" i="2" s="1"/>
  <c r="G47" i="2"/>
  <c r="G120" i="2"/>
  <c r="G193" i="2"/>
  <c r="G72" i="2"/>
  <c r="G22" i="2"/>
  <c r="B83" i="2" l="1"/>
  <c r="F118" i="2"/>
  <c r="C118" i="2" s="1"/>
  <c r="B128" i="2" s="1"/>
  <c r="B129" i="2" s="1"/>
  <c r="B131" i="2" s="1"/>
  <c r="G166" i="2"/>
  <c r="G142" i="2"/>
  <c r="G94" i="2"/>
  <c r="C57" i="2"/>
  <c r="C82" i="2"/>
  <c r="F45" i="2"/>
  <c r="C45" i="2" s="1"/>
  <c r="B55" i="2" s="1"/>
  <c r="B56" i="2" s="1"/>
  <c r="B58" i="2" s="1"/>
  <c r="F166" i="2"/>
  <c r="C166" i="2" s="1"/>
  <c r="B176" i="2" s="1"/>
  <c r="F94" i="2"/>
  <c r="C94" i="2" s="1"/>
  <c r="B104" i="2" s="1"/>
  <c r="B105" i="2" s="1"/>
  <c r="B107" i="2" s="1"/>
  <c r="F142" i="2"/>
  <c r="C142" i="2" s="1"/>
  <c r="B152" i="2" s="1"/>
  <c r="B153" i="2" s="1"/>
  <c r="B155" i="2" s="1"/>
  <c r="C106" i="2"/>
  <c r="D103" i="2"/>
  <c r="C154" i="2"/>
  <c r="D151" i="2"/>
  <c r="C152" i="2"/>
  <c r="C153" i="2" s="1"/>
  <c r="H94" i="2"/>
  <c r="H166" i="2"/>
  <c r="H142" i="2"/>
  <c r="F191" i="2"/>
  <c r="C191" i="2" s="1"/>
  <c r="B201" i="2" s="1"/>
  <c r="B202" i="2" s="1"/>
  <c r="B204" i="2" s="1"/>
  <c r="D175" i="2"/>
  <c r="C178" i="2"/>
  <c r="F20" i="2"/>
  <c r="C130" i="2"/>
  <c r="C203" i="2"/>
  <c r="C80" i="2"/>
  <c r="C81" i="2" s="1"/>
  <c r="D79" i="2"/>
  <c r="D82" i="2" s="1"/>
  <c r="D54" i="2"/>
  <c r="D57" i="2" s="1"/>
  <c r="G118" i="2"/>
  <c r="G70" i="2"/>
  <c r="G20" i="2"/>
  <c r="G191" i="2"/>
  <c r="G45" i="2"/>
  <c r="C128" i="2"/>
  <c r="C129" i="2" s="1"/>
  <c r="H191" i="2"/>
  <c r="H118" i="2"/>
  <c r="H20" i="2"/>
  <c r="H45" i="2"/>
  <c r="H70" i="2"/>
  <c r="E200" i="2"/>
  <c r="D203" i="2"/>
  <c r="E127" i="2"/>
  <c r="D130" i="2"/>
  <c r="D128" i="2"/>
  <c r="C83" i="2" l="1"/>
  <c r="D201" i="2"/>
  <c r="C55" i="2"/>
  <c r="C56" i="2" s="1"/>
  <c r="C155" i="2"/>
  <c r="C131" i="2"/>
  <c r="C104" i="2"/>
  <c r="C105" i="2" s="1"/>
  <c r="C107" i="2" s="1"/>
  <c r="C176" i="2"/>
  <c r="C177" i="2" s="1"/>
  <c r="C179" i="2" s="1"/>
  <c r="E151" i="2"/>
  <c r="D154" i="2"/>
  <c r="D152" i="2"/>
  <c r="D153" i="2" s="1"/>
  <c r="D155" i="2" s="1"/>
  <c r="D178" i="2"/>
  <c r="D176" i="2"/>
  <c r="D177" i="2" s="1"/>
  <c r="E175" i="2"/>
  <c r="E103" i="2"/>
  <c r="D104" i="2"/>
  <c r="D105" i="2" s="1"/>
  <c r="D106" i="2"/>
  <c r="B177" i="2"/>
  <c r="B179" i="2"/>
  <c r="C201" i="2"/>
  <c r="C202" i="2" s="1"/>
  <c r="E79" i="2"/>
  <c r="E82" i="2" s="1"/>
  <c r="E54" i="2"/>
  <c r="E55" i="2" s="1"/>
  <c r="D55" i="2"/>
  <c r="D56" i="2" s="1"/>
  <c r="D58" i="2" s="1"/>
  <c r="D80" i="2"/>
  <c r="D81" i="2" s="1"/>
  <c r="D83" i="2" s="1"/>
  <c r="F200" i="2"/>
  <c r="E203" i="2"/>
  <c r="E201" i="2"/>
  <c r="D202" i="2"/>
  <c r="D204" i="2" s="1"/>
  <c r="D129" i="2"/>
  <c r="D131" i="2" s="1"/>
  <c r="E130" i="2"/>
  <c r="E128" i="2"/>
  <c r="F127" i="2"/>
  <c r="E57" i="2"/>
  <c r="F54" i="2"/>
  <c r="C204" i="2" l="1"/>
  <c r="C58" i="2"/>
  <c r="D179" i="2"/>
  <c r="E106" i="2"/>
  <c r="F103" i="2"/>
  <c r="E104" i="2"/>
  <c r="E105" i="2" s="1"/>
  <c r="F151" i="2"/>
  <c r="E154" i="2"/>
  <c r="E152" i="2"/>
  <c r="E153" i="2" s="1"/>
  <c r="D107" i="2"/>
  <c r="F79" i="2"/>
  <c r="F82" i="2" s="1"/>
  <c r="E178" i="2"/>
  <c r="F175" i="2"/>
  <c r="E176" i="2"/>
  <c r="E177" i="2" s="1"/>
  <c r="E80" i="2"/>
  <c r="E81" i="2" s="1"/>
  <c r="E83" i="2" s="1"/>
  <c r="E202" i="2"/>
  <c r="E204" i="2" s="1"/>
  <c r="F203" i="2"/>
  <c r="F201" i="2"/>
  <c r="G200" i="2"/>
  <c r="G127" i="2"/>
  <c r="F130" i="2"/>
  <c r="F128" i="2"/>
  <c r="E129" i="2"/>
  <c r="E131" i="2" s="1"/>
  <c r="E56" i="2"/>
  <c r="E58" i="2" s="1"/>
  <c r="F55" i="2"/>
  <c r="F57" i="2"/>
  <c r="G54" i="2"/>
  <c r="C28" i="2"/>
  <c r="D28" i="2" s="1"/>
  <c r="E28" i="2" s="1"/>
  <c r="F28" i="2" s="1"/>
  <c r="G28" i="2" s="1"/>
  <c r="H28" i="2" s="1"/>
  <c r="I28" i="2" s="1"/>
  <c r="J28" i="2" s="1"/>
  <c r="K28" i="2" s="1"/>
  <c r="E107" i="2" l="1"/>
  <c r="E179" i="2"/>
  <c r="E155" i="2"/>
  <c r="G79" i="2"/>
  <c r="G80" i="2" s="1"/>
  <c r="F80" i="2"/>
  <c r="G175" i="2"/>
  <c r="F178" i="2"/>
  <c r="F176" i="2"/>
  <c r="F177" i="2" s="1"/>
  <c r="F104" i="2"/>
  <c r="F105" i="2" s="1"/>
  <c r="F106" i="2"/>
  <c r="G103" i="2"/>
  <c r="F152" i="2"/>
  <c r="F153" i="2" s="1"/>
  <c r="G151" i="2"/>
  <c r="F154" i="2"/>
  <c r="F202" i="2"/>
  <c r="F204" i="2" s="1"/>
  <c r="G203" i="2"/>
  <c r="G201" i="2"/>
  <c r="H200" i="2"/>
  <c r="F129" i="2"/>
  <c r="F131" i="2" s="1"/>
  <c r="G130" i="2"/>
  <c r="G128" i="2"/>
  <c r="H127" i="2"/>
  <c r="F81" i="2"/>
  <c r="F83" i="2" s="1"/>
  <c r="G82" i="2"/>
  <c r="F56" i="2"/>
  <c r="F58" i="2" s="1"/>
  <c r="G57" i="2"/>
  <c r="G55" i="2"/>
  <c r="H54" i="2"/>
  <c r="H79" i="2" l="1"/>
  <c r="H175" i="2"/>
  <c r="G178" i="2"/>
  <c r="G176" i="2"/>
  <c r="G177" i="2" s="1"/>
  <c r="G179" i="2" s="1"/>
  <c r="H151" i="2"/>
  <c r="G154" i="2"/>
  <c r="G152" i="2"/>
  <c r="G153" i="2" s="1"/>
  <c r="F107" i="2"/>
  <c r="G104" i="2"/>
  <c r="G105" i="2" s="1"/>
  <c r="H103" i="2"/>
  <c r="G106" i="2"/>
  <c r="F155" i="2"/>
  <c r="F179" i="2"/>
  <c r="G202" i="2"/>
  <c r="G204" i="2" s="1"/>
  <c r="I200" i="2"/>
  <c r="H203" i="2"/>
  <c r="H201" i="2"/>
  <c r="G129" i="2"/>
  <c r="G131" i="2" s="1"/>
  <c r="I127" i="2"/>
  <c r="H130" i="2"/>
  <c r="H128" i="2"/>
  <c r="G81" i="2"/>
  <c r="G83" i="2" s="1"/>
  <c r="I79" i="2"/>
  <c r="H82" i="2"/>
  <c r="H80" i="2"/>
  <c r="G56" i="2"/>
  <c r="G58" i="2" s="1"/>
  <c r="I54" i="2"/>
  <c r="H57" i="2"/>
  <c r="H55" i="2"/>
  <c r="G107" i="2" l="1"/>
  <c r="I151" i="2"/>
  <c r="H154" i="2"/>
  <c r="H152" i="2"/>
  <c r="H153" i="2" s="1"/>
  <c r="H155" i="2" s="1"/>
  <c r="G155" i="2"/>
  <c r="I103" i="2"/>
  <c r="H106" i="2"/>
  <c r="H104" i="2"/>
  <c r="H105" i="2" s="1"/>
  <c r="H107" i="2" s="1"/>
  <c r="I175" i="2"/>
  <c r="H176" i="2"/>
  <c r="H177" i="2" s="1"/>
  <c r="H178" i="2"/>
  <c r="H202" i="2"/>
  <c r="H204" i="2" s="1"/>
  <c r="I203" i="2"/>
  <c r="I201" i="2"/>
  <c r="J200" i="2"/>
  <c r="I130" i="2"/>
  <c r="I128" i="2"/>
  <c r="J127" i="2"/>
  <c r="H129" i="2"/>
  <c r="H131" i="2" s="1"/>
  <c r="I82" i="2"/>
  <c r="I80" i="2"/>
  <c r="J79" i="2"/>
  <c r="H81" i="2"/>
  <c r="H83" i="2" s="1"/>
  <c r="I57" i="2"/>
  <c r="I55" i="2"/>
  <c r="J54" i="2"/>
  <c r="H56" i="2"/>
  <c r="H58" i="2" s="1"/>
  <c r="C29" i="2"/>
  <c r="B32" i="2"/>
  <c r="H179" i="2" l="1"/>
  <c r="I178" i="2"/>
  <c r="I176" i="2"/>
  <c r="I177" i="2" s="1"/>
  <c r="J175" i="2"/>
  <c r="I104" i="2"/>
  <c r="I105" i="2" s="1"/>
  <c r="J103" i="2"/>
  <c r="I106" i="2"/>
  <c r="I154" i="2"/>
  <c r="J151" i="2"/>
  <c r="I152" i="2"/>
  <c r="I153" i="2" s="1"/>
  <c r="I202" i="2"/>
  <c r="I204" i="2" s="1"/>
  <c r="J203" i="2"/>
  <c r="J201" i="2"/>
  <c r="K200" i="2"/>
  <c r="I129" i="2"/>
  <c r="I131" i="2" s="1"/>
  <c r="J130" i="2"/>
  <c r="J128" i="2"/>
  <c r="K127" i="2"/>
  <c r="J82" i="2"/>
  <c r="J80" i="2"/>
  <c r="K79" i="2"/>
  <c r="I81" i="2"/>
  <c r="I83" i="2" s="1"/>
  <c r="J55" i="2"/>
  <c r="J57" i="2"/>
  <c r="K54" i="2"/>
  <c r="I56" i="2"/>
  <c r="I58" i="2" s="1"/>
  <c r="C20" i="2"/>
  <c r="B30" i="2" s="1"/>
  <c r="B31" i="2" s="1"/>
  <c r="C32" i="2"/>
  <c r="D29" i="2"/>
  <c r="I107" i="2" l="1"/>
  <c r="I155" i="2"/>
  <c r="K151" i="2"/>
  <c r="J154" i="2"/>
  <c r="J152" i="2"/>
  <c r="J153" i="2" s="1"/>
  <c r="K175" i="2"/>
  <c r="J178" i="2"/>
  <c r="J176" i="2"/>
  <c r="J177" i="2" s="1"/>
  <c r="J179" i="2" s="1"/>
  <c r="I179" i="2"/>
  <c r="K103" i="2"/>
  <c r="J106" i="2"/>
  <c r="J104" i="2"/>
  <c r="J105" i="2" s="1"/>
  <c r="J107" i="2" s="1"/>
  <c r="J202" i="2"/>
  <c r="J204" i="2" s="1"/>
  <c r="K203" i="2"/>
  <c r="K201" i="2"/>
  <c r="J129" i="2"/>
  <c r="J131" i="2" s="1"/>
  <c r="K130" i="2"/>
  <c r="K128" i="2"/>
  <c r="K82" i="2"/>
  <c r="K80" i="2"/>
  <c r="J81" i="2"/>
  <c r="J83" i="2" s="1"/>
  <c r="K57" i="2"/>
  <c r="K55" i="2"/>
  <c r="J56" i="2"/>
  <c r="J58" i="2" s="1"/>
  <c r="C30" i="2"/>
  <c r="C31" i="2" s="1"/>
  <c r="C33" i="2" s="1"/>
  <c r="B33" i="2"/>
  <c r="D32" i="2"/>
  <c r="E29" i="2"/>
  <c r="D30" i="2"/>
  <c r="D31" i="2" s="1"/>
  <c r="J155" i="2" l="1"/>
  <c r="K106" i="2"/>
  <c r="K104" i="2"/>
  <c r="K105" i="2" s="1"/>
  <c r="K107" i="2" s="1"/>
  <c r="L107" i="2" s="1"/>
  <c r="B108" i="2" s="1"/>
  <c r="E5" i="2" s="1"/>
  <c r="K176" i="2"/>
  <c r="K177" i="2" s="1"/>
  <c r="K178" i="2"/>
  <c r="K152" i="2"/>
  <c r="K153" i="2" s="1"/>
  <c r="K154" i="2"/>
  <c r="K202" i="2"/>
  <c r="K204" i="2" s="1"/>
  <c r="L204" i="2" s="1"/>
  <c r="B205" i="2" s="1"/>
  <c r="K129" i="2"/>
  <c r="K131" i="2" s="1"/>
  <c r="L131" i="2" s="1"/>
  <c r="B132" i="2" s="1"/>
  <c r="K81" i="2"/>
  <c r="K83" i="2" s="1"/>
  <c r="L83" i="2" s="1"/>
  <c r="B84" i="2" s="1"/>
  <c r="K56" i="2"/>
  <c r="K58" i="2" s="1"/>
  <c r="L58" i="2" s="1"/>
  <c r="B59" i="2" s="1"/>
  <c r="D33" i="2"/>
  <c r="F29" i="2"/>
  <c r="E30" i="2"/>
  <c r="E32" i="2"/>
  <c r="K179" i="2" l="1"/>
  <c r="L179" i="2" s="1"/>
  <c r="B180" i="2" s="1"/>
  <c r="E8" i="2" s="1"/>
  <c r="E83" i="3"/>
  <c r="J26" i="4" s="1"/>
  <c r="D19" i="3"/>
  <c r="J21" i="5" s="1"/>
  <c r="K155" i="2"/>
  <c r="L155" i="2" s="1"/>
  <c r="B156" i="2" s="1"/>
  <c r="E7" i="2" s="1"/>
  <c r="G29" i="2"/>
  <c r="F30" i="2"/>
  <c r="F32" i="2"/>
  <c r="E31" i="2"/>
  <c r="E33" i="2" s="1"/>
  <c r="E75" i="3" l="1"/>
  <c r="J24" i="4" s="1"/>
  <c r="D11" i="3"/>
  <c r="J17" i="5" s="1"/>
  <c r="D3" i="3"/>
  <c r="J14" i="5" s="1"/>
  <c r="E67" i="3"/>
  <c r="J22" i="4" s="1"/>
  <c r="H29" i="2"/>
  <c r="G30" i="2"/>
  <c r="G31" i="2" s="1"/>
  <c r="G32" i="2"/>
  <c r="F31" i="2"/>
  <c r="F33" i="2" s="1"/>
  <c r="H32" i="2" l="1"/>
  <c r="I29" i="2"/>
  <c r="H30" i="2"/>
  <c r="G33" i="2"/>
  <c r="H31" i="2" l="1"/>
  <c r="H33" i="2" s="1"/>
  <c r="I30" i="2"/>
  <c r="I32" i="2"/>
  <c r="J29" i="2"/>
  <c r="J30" i="2" l="1"/>
  <c r="J32" i="2"/>
  <c r="K29" i="2"/>
  <c r="I31" i="2"/>
  <c r="I33" i="2" s="1"/>
  <c r="K30" i="2" l="1"/>
  <c r="K32" i="2"/>
  <c r="J31" i="2"/>
  <c r="J33" i="2" s="1"/>
  <c r="K31" i="2" l="1"/>
  <c r="K33" i="2" s="1"/>
  <c r="L33" i="2" s="1"/>
  <c r="B34" i="2" s="1"/>
  <c r="E2" i="2" l="1"/>
  <c r="E4" i="2"/>
  <c r="E6" i="2"/>
  <c r="E3" i="2"/>
  <c r="E9" i="2"/>
  <c r="D31" i="3" l="1"/>
  <c r="J25" i="5" s="1"/>
  <c r="E95" i="3"/>
  <c r="J29" i="4" s="1"/>
  <c r="E91" i="3"/>
  <c r="J28" i="4" s="1"/>
  <c r="D27" i="3"/>
  <c r="J24" i="5" s="1"/>
  <c r="J17" i="4"/>
  <c r="D15" i="3"/>
  <c r="J18" i="5" s="1"/>
  <c r="E79" i="3"/>
  <c r="J25" i="4" s="1"/>
  <c r="J18" i="4"/>
  <c r="E87" i="3"/>
  <c r="J27" i="4" s="1"/>
  <c r="D23" i="3"/>
  <c r="J22" i="5" s="1"/>
  <c r="J16" i="4"/>
  <c r="D7" i="3"/>
  <c r="J15" i="5" s="1"/>
  <c r="E71" i="3"/>
  <c r="J23" i="4" s="1"/>
  <c r="J19" i="4"/>
  <c r="E10" i="2"/>
  <c r="E12" i="2" s="1"/>
  <c r="F2" i="5"/>
  <c r="F2" i="4"/>
  <c r="C25" i="3"/>
  <c r="E14" i="3"/>
  <c r="E3" i="3"/>
  <c r="E10" i="3"/>
  <c r="E15" i="3"/>
  <c r="E26" i="3"/>
  <c r="E23" i="3"/>
  <c r="E6" i="3"/>
  <c r="E85" i="3"/>
  <c r="B17" i="3"/>
  <c r="C9" i="3"/>
  <c r="E22" i="3"/>
  <c r="F75" i="3"/>
  <c r="C101" i="3"/>
  <c r="F90" i="3"/>
  <c r="E31" i="3"/>
  <c r="E7" i="3"/>
  <c r="D89" i="3"/>
  <c r="F66" i="3"/>
  <c r="D29" i="3"/>
  <c r="E11" i="3"/>
  <c r="F79" i="3"/>
  <c r="E19" i="3"/>
  <c r="D13" i="3"/>
  <c r="C81" i="3"/>
  <c r="D21" i="3"/>
  <c r="F70" i="3"/>
  <c r="E27" i="3"/>
  <c r="E93" i="3"/>
  <c r="B80" i="3"/>
  <c r="B97" i="3"/>
  <c r="F67" i="3"/>
  <c r="E30" i="3"/>
  <c r="F71" i="3"/>
  <c r="D5" i="3"/>
  <c r="E18" i="3"/>
  <c r="E2" i="3"/>
  <c r="E77" i="3"/>
  <c r="F74" i="3"/>
  <c r="F83" i="3"/>
  <c r="F82" i="3"/>
  <c r="D73" i="3"/>
  <c r="B100" i="3"/>
  <c r="F94" i="3"/>
  <c r="F78" i="3"/>
  <c r="D102" i="3"/>
  <c r="E69" i="3"/>
  <c r="F87" i="3"/>
  <c r="D103" i="3"/>
  <c r="F95" i="3"/>
  <c r="D99" i="3"/>
  <c r="F91" i="3"/>
  <c r="D98" i="3"/>
  <c r="F86" i="3"/>
  <c r="A28" i="4"/>
  <c r="A27" i="4"/>
  <c r="A17" i="4"/>
  <c r="A11" i="4"/>
  <c r="A12" i="4"/>
  <c r="A17" i="5"/>
  <c r="A25" i="5"/>
  <c r="A11" i="5"/>
  <c r="A14" i="5"/>
  <c r="A20" i="5"/>
  <c r="A18" i="5"/>
  <c r="A20" i="4"/>
  <c r="A16" i="4"/>
  <c r="A13" i="5"/>
  <c r="A19" i="4"/>
  <c r="A16" i="5"/>
  <c r="A23" i="5"/>
  <c r="A13" i="4"/>
  <c r="A18" i="4"/>
  <c r="A19" i="5"/>
  <c r="A26" i="4"/>
  <c r="A25" i="4"/>
  <c r="A12" i="5"/>
  <c r="A29" i="4"/>
  <c r="A14" i="4"/>
  <c r="A23" i="4"/>
  <c r="A24" i="5"/>
  <c r="A21" i="5"/>
  <c r="A15" i="4"/>
  <c r="A24" i="4"/>
  <c r="A22" i="5"/>
  <c r="A21" i="4"/>
  <c r="A22" i="4"/>
  <c r="A15" i="5"/>
</calcChain>
</file>

<file path=xl/sharedStrings.xml><?xml version="1.0" encoding="utf-8"?>
<sst xmlns="http://schemas.openxmlformats.org/spreadsheetml/2006/main" count="621" uniqueCount="185">
  <si>
    <t>Gross profit</t>
  </si>
  <si>
    <t>Basic</t>
  </si>
  <si>
    <t>Diluted</t>
  </si>
  <si>
    <t>Revenue</t>
  </si>
  <si>
    <t>Depreciation/Amort</t>
  </si>
  <si>
    <t>Taxes</t>
  </si>
  <si>
    <t>Cash flows</t>
  </si>
  <si>
    <t>NPV</t>
  </si>
  <si>
    <t>Revenue Growth</t>
  </si>
  <si>
    <t>WACC</t>
  </si>
  <si>
    <t>Terminal Growth rate</t>
  </si>
  <si>
    <t>Operating Income</t>
  </si>
  <si>
    <t>Operating Inc Mgn</t>
  </si>
  <si>
    <t>Amortization % Sales</t>
  </si>
  <si>
    <t>Tax rate</t>
  </si>
  <si>
    <t>Assumptions</t>
  </si>
  <si>
    <t>Avg</t>
  </si>
  <si>
    <t>Max</t>
  </si>
  <si>
    <t>Min</t>
  </si>
  <si>
    <t>Terminal</t>
  </si>
  <si>
    <t>Initial</t>
  </si>
  <si>
    <t>Value</t>
  </si>
  <si>
    <t>Scenario</t>
  </si>
  <si>
    <t>Prob</t>
  </si>
  <si>
    <t xml:space="preserve">     Purchase price:</t>
  </si>
  <si>
    <t xml:space="preserve">     Value created (lost) in the acquisition:</t>
  </si>
  <si>
    <t xml:space="preserve">     Expected value created:</t>
  </si>
  <si>
    <t>When(yr)</t>
  </si>
  <si>
    <t>(in thousands, except share and per share data)</t>
  </si>
  <si>
    <t>Consolidated Statements of Operations Data:</t>
  </si>
  <si>
    <t>Cost of revenue(1)</t>
  </si>
  <si>
    <t>Operating expenses:</t>
  </si>
  <si>
    <t>Research and development(1)</t>
  </si>
  <si>
    <t>Sales and marketing(1)</t>
  </si>
  <si>
    <t>General and administrative(1)</t>
  </si>
  <si>
    <t>Total operating expenses</t>
  </si>
  <si>
    <t>Income (loss) from operations</t>
  </si>
  <si>
    <t>—</t>
  </si>
  <si>
    <t>Interest income and other, net</t>
  </si>
  <si>
    <t>Net income (loss) before provision for income taxes</t>
  </si>
  <si>
    <t>Provision for income taxes</t>
  </si>
  <si>
    <t>Net income (loss)</t>
  </si>
  <si>
    <t>Distributed earnings attributable to participating securities</t>
  </si>
  <si>
    <t>Undistributed earnings attributable to participating securities</t>
  </si>
  <si>
    <t>Net income (loss) attributable to common stockholders</t>
  </si>
  <si>
    <t>$—</t>
  </si>
  <si>
    <t>Net income (loss) per share attributable to common stockholders:</t>
  </si>
  <si>
    <t>Weighted-average shares used in computing net income (loss) per share attributable to common stockholders:</t>
  </si>
  <si>
    <t xml:space="preserve">     Gross Profit %</t>
  </si>
  <si>
    <t xml:space="preserve">     Revenue Growth</t>
  </si>
  <si>
    <t xml:space="preserve">     Operating Mgn</t>
  </si>
  <si>
    <t>Reconciled Depreciation*</t>
  </si>
  <si>
    <t>Normalized EBITDA*</t>
  </si>
  <si>
    <t>*From Yahoo Finance</t>
  </si>
  <si>
    <t xml:space="preserve">     Depreciation/Sales</t>
  </si>
  <si>
    <t xml:space="preserve">     Implied tax rate</t>
  </si>
  <si>
    <t>Sources of Uncertainty:</t>
  </si>
  <si>
    <t>Zoom 2020 valuation based on expected cash flows</t>
  </si>
  <si>
    <t>Thousands$</t>
  </si>
  <si>
    <t>165643DF</t>
  </si>
  <si>
    <t>Name</t>
  </si>
  <si>
    <t>SheetRef</t>
  </si>
  <si>
    <t>GenInfo</t>
  </si>
  <si>
    <t>Def. Link</t>
  </si>
  <si>
    <t>EXT REFS</t>
  </si>
  <si>
    <t>Def. Form</t>
  </si>
  <si>
    <t>Calc Macro</t>
  </si>
  <si>
    <t>Highest#</t>
  </si>
  <si>
    <t>Ptree1 Compatibility</t>
  </si>
  <si>
    <t>Model GUID</t>
  </si>
  <si>
    <t>Eval. Function</t>
  </si>
  <si>
    <t>Creation Version</t>
  </si>
  <si>
    <t>Required Version</t>
  </si>
  <si>
    <t>Recommended Version</t>
  </si>
  <si>
    <t>Last Modified By Version</t>
  </si>
  <si>
    <t>Output Label</t>
  </si>
  <si>
    <t>Output Value NF</t>
  </si>
  <si>
    <t>Output Prob NF</t>
  </si>
  <si>
    <t>Input Value NF</t>
  </si>
  <si>
    <t>Input Prob NF</t>
  </si>
  <si>
    <t>R-Value Ref.</t>
  </si>
  <si>
    <t>Anchor Cell</t>
  </si>
  <si>
    <t>Branch Name</t>
  </si>
  <si>
    <t>bformtype</t>
  </si>
  <si>
    <t>valformula</t>
  </si>
  <si>
    <t>pbformula</t>
  </si>
  <si>
    <t>distribution</t>
  </si>
  <si>
    <t>cumPayoffFunction</t>
  </si>
  <si>
    <t>link</t>
  </si>
  <si>
    <t>ENDNODEFORMULA</t>
  </si>
  <si>
    <t>VAL</t>
  </si>
  <si>
    <t>PB</t>
  </si>
  <si>
    <t>IntRefs</t>
  </si>
  <si>
    <t>RefRefs</t>
  </si>
  <si>
    <t>NodeNames</t>
  </si>
  <si>
    <t>Collapsed</t>
  </si>
  <si>
    <t>=</t>
  </si>
  <si>
    <t>8.0.1</t>
  </si>
  <si>
    <t>5.0.0</t>
  </si>
  <si>
    <t>&lt;NF&gt;</t>
  </si>
  <si>
    <t>Automatic</t>
  </si>
  <si>
    <t/>
  </si>
  <si>
    <t>DEFAULT</t>
  </si>
  <si>
    <t>0</t>
  </si>
  <si>
    <t>0,1,1,0,0,Exponential, 0,0,-1,0,-1,-1,.0001</t>
  </si>
  <si>
    <t>Sell Zoom?</t>
  </si>
  <si>
    <t>SellNow?</t>
  </si>
  <si>
    <t>2,0,0,2,2,3,0,0,0</t>
  </si>
  <si>
    <t>NoSell</t>
  </si>
  <si>
    <t>Sell</t>
  </si>
  <si>
    <t>RivalQuality</t>
  </si>
  <si>
    <t>1,0,0,2,4,5,1,0,0</t>
  </si>
  <si>
    <t>High</t>
  </si>
  <si>
    <t>Low</t>
  </si>
  <si>
    <t>1,0,0,2,6,7,2,0,0</t>
  </si>
  <si>
    <t>PriceWar</t>
  </si>
  <si>
    <t>War!</t>
  </si>
  <si>
    <t>Peace</t>
  </si>
  <si>
    <t>1,0,0,2,8,9,2,0,0</t>
  </si>
  <si>
    <t>Acq Price</t>
  </si>
  <si>
    <t>4,0,0,0,3,0,0</t>
  </si>
  <si>
    <t>1,0,0,2,10,11,1,0,0</t>
  </si>
  <si>
    <t>* Rivals attack on price</t>
  </si>
  <si>
    <t>Analyst estimates</t>
  </si>
  <si>
    <t>* Industry size (revenue):</t>
  </si>
  <si>
    <t>$3.85B</t>
  </si>
  <si>
    <t>* Industry growth (CAGR):</t>
  </si>
  <si>
    <t>8. Worst case: Rivals' fix quality; Price war; Zoom lags</t>
  </si>
  <si>
    <t>Zoom</t>
  </si>
  <si>
    <t>4,0,0,0,6,0,0</t>
  </si>
  <si>
    <t>1,0,0,2,12,13,4,0,0</t>
  </si>
  <si>
    <t>Innovate</t>
  </si>
  <si>
    <t>Lag</t>
  </si>
  <si>
    <t>1,0,0,2,14,15,4,0,0</t>
  </si>
  <si>
    <t>4,0,0,0,7,0,0</t>
  </si>
  <si>
    <t>1,0,0,2,16,17,5,0,0</t>
  </si>
  <si>
    <t>4,0,0,0,8,0,0</t>
  </si>
  <si>
    <t>1,0,0,2,18,19,5,0,0</t>
  </si>
  <si>
    <t>4,0,0,0,9,0,0</t>
  </si>
  <si>
    <t>13E19F55</t>
  </si>
  <si>
    <t>0,2,1,0,0,Exponential, 0,0,-1,0,-1,-1,.0001</t>
  </si>
  <si>
    <t>Zoom Value</t>
  </si>
  <si>
    <t>1,0,0,2,2,9,0,0,0</t>
  </si>
  <si>
    <t>1,0,0,2,3,6,1,0,0</t>
  </si>
  <si>
    <t>1,0,0,2,4,5,2,0,0</t>
  </si>
  <si>
    <t>1,0,0,2,7,8,2,0,0</t>
  </si>
  <si>
    <t>1,0,0,2,10,13,1,0,0</t>
  </si>
  <si>
    <t>1,0,0,2,11,12,9,0,0</t>
  </si>
  <si>
    <t>4,0,0,0,10,0,0</t>
  </si>
  <si>
    <t>1,0,0,2,14,15,9,0,0</t>
  </si>
  <si>
    <t>4,0,0,0,13,0,0</t>
  </si>
  <si>
    <t>1. Best case: Rivals withdraw; Zoom innovates</t>
  </si>
  <si>
    <t>2. Mid1: Rivals withdraw; Zoom lags</t>
  </si>
  <si>
    <t>3. Mid2: Rivals' quality fails; Price war; Zoom lags</t>
  </si>
  <si>
    <t>4. Mid3: Rivals' quality fails; Price war; Zoom innovates</t>
  </si>
  <si>
    <t>5. Mid4: Rivals' fix quality; No price war; Zoom lags</t>
  </si>
  <si>
    <t>6. Mid5: Rivals' fix quality; No price war; Zoom innovates</t>
  </si>
  <si>
    <t>7. Mid6: Rivals' fix quality; Price war; Zoom innovates</t>
  </si>
  <si>
    <t>Black</t>
  </si>
  <si>
    <t>Blue</t>
  </si>
  <si>
    <t>Green</t>
  </si>
  <si>
    <t>Orange</t>
  </si>
  <si>
    <t>Purple</t>
  </si>
  <si>
    <t>Red</t>
  </si>
  <si>
    <t>Silver</t>
  </si>
  <si>
    <t>P(Yes)</t>
  </si>
  <si>
    <t>P(No)</t>
  </si>
  <si>
    <t>* Rivals match quality</t>
  </si>
  <si>
    <t>* Zoom keeps innovating</t>
  </si>
  <si>
    <t>Zoom Mkt Capitalization</t>
  </si>
  <si>
    <t>%Change</t>
  </si>
  <si>
    <t>Premium</t>
  </si>
  <si>
    <t>----------Quarterly Data----------</t>
  </si>
  <si>
    <t>Last 4Q</t>
  </si>
  <si>
    <t>over 3 quarters</t>
  </si>
  <si>
    <t>11C40EEE</t>
  </si>
  <si>
    <t>0,3,1,0,0,Exponential, 0,0,-1,0,-1,-1,.0001</t>
  </si>
  <si>
    <t>F2F Classes</t>
  </si>
  <si>
    <t>F2F</t>
  </si>
  <si>
    <t>Online</t>
  </si>
  <si>
    <t>Sick?</t>
  </si>
  <si>
    <t>4,0,0,0,2,0,0</t>
  </si>
  <si>
    <t>1,0,0,2,6,7,1,0,0</t>
  </si>
  <si>
    <t xml:space="preserve">      ----------Zoom Historical----------</t>
  </si>
  <si>
    <r>
      <t xml:space="preserve">    --Post</t>
    </r>
    <r>
      <rPr>
        <b/>
        <sz val="9"/>
        <color theme="1"/>
        <rFont val="Calibri Light"/>
        <family val="2"/>
        <scheme val="major"/>
      </rPr>
      <t xml:space="preserve"> </t>
    </r>
    <r>
      <rPr>
        <b/>
        <sz val="12"/>
        <color theme="1"/>
        <rFont val="Calibri Light"/>
        <family val="2"/>
        <scheme val="major"/>
      </rPr>
      <t>Rival</t>
    </r>
    <r>
      <rPr>
        <b/>
        <sz val="9"/>
        <color theme="1"/>
        <rFont val="Calibri Light"/>
        <family val="2"/>
        <scheme val="major"/>
      </rPr>
      <t xml:space="preserve"> </t>
    </r>
    <r>
      <rPr>
        <b/>
        <sz val="12"/>
        <color theme="1"/>
        <rFont val="Calibri Light"/>
        <family val="2"/>
        <scheme val="major"/>
      </rPr>
      <t>Resp--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</si>
</sst>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$&quot;#,##0_);[Red]\(&quot;$&quot;#,##0\)"/>
    <numFmt numFmtId="164" formatCode="0.0%"/>
    <numFmt numFmtId="165" formatCode="&quot;$&quot;#,##0.0"/>
    <numFmt numFmtId="166" formatCode="&quot;$&quot;#,##0.00"/>
    <numFmt numFmtId="167" formatCode="&quot;$&quot;#,##0"/>
    <numFmt numFmtId="168" formatCode="_(\$* #,##0.00_);_(\$* \(#,##0.00\);_(\$* \-??_);_(@_)"/>
    <numFmt numFmtId="169" formatCode="&quot;($&quot;#,##0.00_);[Red]&quot;($&quot;#,##0.00\)"/>
    <numFmt numFmtId="170" formatCode="[&gt;0.00001]0.0###%;[=0]0.0%;0.00E+00"/>
    <numFmt numFmtId="171" formatCode="&quot;$&quot;#,##0;[Red]&quot;$&quot;#,##0"/>
    <numFmt numFmtId="172" formatCode="m/d/yy;@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8"/>
      <color rgb="FF00008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008000"/>
      <name val="Calibri"/>
      <family val="2"/>
      <scheme val="minor"/>
    </font>
    <font>
      <sz val="8"/>
      <color rgb="FF008000"/>
      <name val="Calibri"/>
      <family val="2"/>
      <scheme val="minor"/>
    </font>
    <font>
      <b/>
      <sz val="8"/>
      <color rgb="FF800000"/>
      <name val="Calibri"/>
      <family val="2"/>
      <scheme val="minor"/>
    </font>
    <font>
      <sz val="8"/>
      <color rgb="FF8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u/>
      <sz val="10.5"/>
      <color theme="1"/>
      <name val="Calibri Light"/>
      <family val="2"/>
      <scheme val="major"/>
    </font>
    <font>
      <u/>
      <sz val="11"/>
      <color theme="1"/>
      <name val="Calibri Light"/>
      <family val="2"/>
      <scheme val="major"/>
    </font>
    <font>
      <b/>
      <sz val="12"/>
      <color rgb="FF000000"/>
      <name val="Calibri Light"/>
      <family val="2"/>
    </font>
    <font>
      <sz val="12"/>
      <color rgb="FF000000"/>
      <name val="Calibri Light"/>
      <family val="2"/>
    </font>
    <font>
      <i/>
      <sz val="12"/>
      <color rgb="FF000000"/>
      <name val="Calibri Light"/>
      <family val="2"/>
    </font>
    <font>
      <b/>
      <sz val="12"/>
      <name val="Calibri Light"/>
      <family val="2"/>
    </font>
    <font>
      <b/>
      <sz val="12"/>
      <color theme="0"/>
      <name val="Calibri Light"/>
      <family val="2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u/>
      <sz val="12"/>
      <color theme="10"/>
      <name val="Calibri Light"/>
      <family val="2"/>
      <scheme val="major"/>
    </font>
    <font>
      <b/>
      <sz val="11.5"/>
      <color theme="1"/>
      <name val="Calibri Light"/>
      <family val="2"/>
      <scheme val="major"/>
    </font>
    <font>
      <b/>
      <sz val="9"/>
      <color theme="1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9E1F2"/>
        <bgColor rgb="FF000000"/>
      </patternFill>
    </fill>
    <fill>
      <patternFill patternType="solid">
        <fgColor rgb="FF000000"/>
        <bgColor rgb="FFFFFFFF"/>
      </patternFill>
    </fill>
    <fill>
      <patternFill patternType="solid">
        <fgColor rgb="FF0070C0"/>
        <bgColor rgb="FFFFFFFF"/>
      </patternFill>
    </fill>
    <fill>
      <patternFill patternType="solid">
        <fgColor rgb="FF548335"/>
        <bgColor rgb="FFFFFFFF"/>
      </patternFill>
    </fill>
    <fill>
      <patternFill patternType="solid">
        <fgColor rgb="FFC65911"/>
        <bgColor rgb="FFFFFFFF"/>
      </patternFill>
    </fill>
    <fill>
      <patternFill patternType="solid">
        <fgColor rgb="FF7030A0"/>
        <bgColor rgb="FFFFFFFF"/>
      </patternFill>
    </fill>
    <fill>
      <patternFill patternType="solid">
        <fgColor rgb="FFC00000"/>
        <bgColor rgb="FFFFFFFF"/>
      </patternFill>
    </fill>
    <fill>
      <patternFill patternType="solid">
        <fgColor rgb="FFA6A6A6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rgb="FFE0E4E9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75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3" fontId="0" fillId="0" borderId="0" xfId="0" applyNumberFormat="1"/>
    <xf numFmtId="3" fontId="3" fillId="0" borderId="2" xfId="0" applyNumberFormat="1" applyFont="1" applyBorder="1" applyAlignment="1">
      <alignment horizontal="center" vertical="center" wrapText="1"/>
    </xf>
    <xf numFmtId="6" fontId="0" fillId="0" borderId="0" xfId="0" applyNumberFormat="1"/>
    <xf numFmtId="168" fontId="0" fillId="0" borderId="0" xfId="0" applyNumberFormat="1"/>
    <xf numFmtId="169" fontId="0" fillId="0" borderId="0" xfId="0" applyNumberFormat="1"/>
    <xf numFmtId="0" fontId="0" fillId="0" borderId="0" xfId="0" quotePrefix="1" applyAlignment="1">
      <alignment horizontal="left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4" fillId="0" borderId="0" xfId="0" applyFont="1" applyAlignment="1">
      <alignment horizontal="center"/>
    </xf>
    <xf numFmtId="170" fontId="4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0" fontId="7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9" fillId="0" borderId="0" xfId="0" applyNumberFormat="1" applyFont="1" applyAlignment="1">
      <alignment horizontal="center"/>
    </xf>
    <xf numFmtId="170" fontId="5" fillId="0" borderId="0" xfId="0" applyNumberFormat="1" applyFont="1" applyAlignment="1">
      <alignment horizontal="right"/>
    </xf>
    <xf numFmtId="0" fontId="9" fillId="0" borderId="0" xfId="0" applyFont="1" applyAlignment="1">
      <alignment horizontal="center"/>
    </xf>
    <xf numFmtId="167" fontId="5" fillId="0" borderId="0" xfId="0" applyNumberFormat="1" applyFont="1" applyAlignment="1">
      <alignment horizontal="right"/>
    </xf>
    <xf numFmtId="167" fontId="8" fillId="0" borderId="0" xfId="0" applyNumberFormat="1" applyFont="1" applyAlignment="1">
      <alignment horizontal="center"/>
    </xf>
    <xf numFmtId="3" fontId="6" fillId="0" borderId="0" xfId="0" applyNumberFormat="1" applyFont="1" applyAlignment="1">
      <alignment horizontal="center"/>
    </xf>
    <xf numFmtId="3" fontId="0" fillId="0" borderId="0" xfId="0" applyNumberFormat="1" applyAlignment="1">
      <alignment horizontal="left"/>
    </xf>
    <xf numFmtId="0" fontId="5" fillId="0" borderId="0" xfId="0" applyNumberFormat="1" applyFont="1" applyAlignment="1">
      <alignment horizontal="right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horizontal="right"/>
    </xf>
    <xf numFmtId="0" fontId="13" fillId="0" borderId="0" xfId="0" applyFont="1"/>
    <xf numFmtId="167" fontId="12" fillId="0" borderId="0" xfId="0" applyNumberFormat="1" applyFont="1"/>
    <xf numFmtId="164" fontId="12" fillId="0" borderId="0" xfId="0" applyNumberFormat="1" applyFont="1"/>
    <xf numFmtId="9" fontId="12" fillId="0" borderId="0" xfId="0" applyNumberFormat="1" applyFont="1"/>
    <xf numFmtId="6" fontId="11" fillId="0" borderId="0" xfId="0" applyNumberFormat="1" applyFont="1"/>
    <xf numFmtId="0" fontId="12" fillId="2" borderId="1" xfId="0" applyFont="1" applyFill="1" applyBorder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3" fontId="12" fillId="0" borderId="0" xfId="0" applyNumberFormat="1" applyFont="1"/>
    <xf numFmtId="165" fontId="12" fillId="0" borderId="0" xfId="0" applyNumberFormat="1" applyFont="1"/>
    <xf numFmtId="166" fontId="12" fillId="0" borderId="0" xfId="0" applyNumberFormat="1" applyFont="1"/>
    <xf numFmtId="167" fontId="0" fillId="0" borderId="0" xfId="0" applyNumberFormat="1" applyFont="1"/>
    <xf numFmtId="171" fontId="2" fillId="0" borderId="0" xfId="0" applyNumberFormat="1" applyFont="1"/>
    <xf numFmtId="167" fontId="4" fillId="0" borderId="0" xfId="0" applyNumberFormat="1" applyFont="1" applyAlignment="1">
      <alignment horizontal="center"/>
    </xf>
    <xf numFmtId="0" fontId="16" fillId="3" borderId="1" xfId="0" applyFont="1" applyFill="1" applyBorder="1"/>
    <xf numFmtId="0" fontId="17" fillId="0" borderId="0" xfId="0" applyFont="1"/>
    <xf numFmtId="0" fontId="16" fillId="0" borderId="0" xfId="0" applyFont="1"/>
    <xf numFmtId="0" fontId="18" fillId="0" borderId="0" xfId="0" applyFont="1"/>
    <xf numFmtId="0" fontId="19" fillId="5" borderId="3" xfId="0" applyFont="1" applyFill="1" applyBorder="1" applyAlignment="1">
      <alignment horizontal="centerContinuous" vertical="top" wrapText="1"/>
    </xf>
    <xf numFmtId="0" fontId="19" fillId="6" borderId="3" xfId="0" applyFont="1" applyFill="1" applyBorder="1" applyAlignment="1">
      <alignment horizontal="centerContinuous" vertical="top" wrapText="1"/>
    </xf>
    <xf numFmtId="0" fontId="19" fillId="7" borderId="3" xfId="0" applyFont="1" applyFill="1" applyBorder="1" applyAlignment="1">
      <alignment horizontal="centerContinuous" vertical="top" wrapText="1"/>
    </xf>
    <xf numFmtId="0" fontId="19" fillId="8" borderId="3" xfId="0" applyFont="1" applyFill="1" applyBorder="1" applyAlignment="1">
      <alignment horizontal="centerContinuous" vertical="top" wrapText="1"/>
    </xf>
    <xf numFmtId="0" fontId="19" fillId="9" borderId="3" xfId="0" applyFont="1" applyFill="1" applyBorder="1" applyAlignment="1">
      <alignment horizontal="centerContinuous" vertical="top" wrapText="1"/>
    </xf>
    <xf numFmtId="0" fontId="19" fillId="10" borderId="3" xfId="0" applyFont="1" applyFill="1" applyBorder="1" applyAlignment="1">
      <alignment horizontal="centerContinuous" vertical="top" wrapText="1"/>
    </xf>
    <xf numFmtId="0" fontId="20" fillId="4" borderId="3" xfId="0" applyFont="1" applyFill="1" applyBorder="1" applyAlignment="1">
      <alignment horizontal="centerContinuous" vertical="top" wrapText="1"/>
    </xf>
    <xf numFmtId="0" fontId="21" fillId="0" borderId="0" xfId="0" applyFont="1"/>
    <xf numFmtId="0" fontId="22" fillId="0" borderId="0" xfId="0" applyFont="1"/>
    <xf numFmtId="0" fontId="22" fillId="0" borderId="0" xfId="0" applyFont="1" applyAlignment="1">
      <alignment horizontal="right"/>
    </xf>
    <xf numFmtId="164" fontId="21" fillId="0" borderId="0" xfId="0" applyNumberFormat="1" applyFont="1"/>
    <xf numFmtId="0" fontId="23" fillId="0" borderId="0" xfId="1" applyFont="1"/>
    <xf numFmtId="0" fontId="21" fillId="0" borderId="0" xfId="0" applyFont="1" applyAlignment="1">
      <alignment horizontal="right"/>
    </xf>
    <xf numFmtId="10" fontId="21" fillId="0" borderId="0" xfId="0" applyNumberFormat="1" applyFont="1"/>
    <xf numFmtId="0" fontId="24" fillId="0" borderId="0" xfId="0" applyFont="1"/>
    <xf numFmtId="172" fontId="21" fillId="0" borderId="0" xfId="0" applyNumberFormat="1" applyFont="1"/>
    <xf numFmtId="167" fontId="21" fillId="0" borderId="0" xfId="0" applyNumberFormat="1" applyFont="1"/>
    <xf numFmtId="0" fontId="1" fillId="0" borderId="0" xfId="0" quotePrefix="1" applyFont="1" applyAlignment="1">
      <alignment horizontal="centerContinuous"/>
    </xf>
    <xf numFmtId="0" fontId="0" fillId="0" borderId="0" xfId="0" applyAlignment="1">
      <alignment horizontal="centerContinuous"/>
    </xf>
    <xf numFmtId="172" fontId="1" fillId="0" borderId="0" xfId="0" applyNumberFormat="1" applyFont="1"/>
    <xf numFmtId="167" fontId="0" fillId="0" borderId="0" xfId="0" applyNumberFormat="1"/>
    <xf numFmtId="3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2" fillId="0" borderId="0" xfId="0" quotePrefix="1" applyFont="1"/>
    <xf numFmtId="0" fontId="22" fillId="0" borderId="0" xfId="0" quotePrefix="1" applyFont="1" applyAlignment="1">
      <alignment horizontal="centerContinuous"/>
    </xf>
    <xf numFmtId="0" fontId="21" fillId="0" borderId="0" xfId="0" applyFont="1" applyAlignment="1">
      <alignment horizontal="centerContinuous"/>
    </xf>
  </cellXfs>
  <cellStyles count="2">
    <cellStyle name="Hyperlink" xfId="1" builtinId="8"/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Strategy Region for Node 'SellNow?' 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9.4365295459562876E-2"/>
          <c:y val="9.4499424626006898E-2"/>
          <c:w val="0.87643222459342118"/>
          <c:h val="0.77718836929043245"/>
        </c:manualLayout>
      </c:layout>
      <c:scatterChart>
        <c:scatterStyle val="lineMarker"/>
        <c:varyColors val="0"/>
        <c:ser>
          <c:idx val="0"/>
          <c:order val="0"/>
          <c:tx>
            <c:v>NoSell</c:v>
          </c:tx>
          <c:spPr>
            <a:ln w="19050">
              <a:noFill/>
            </a:ln>
          </c:spPr>
          <c:marker>
            <c:symbol val="diamond"/>
            <c:size val="9"/>
            <c:spPr>
              <a:solidFill>
                <a:srgbClr val="333399"/>
              </a:solidFill>
              <a:ln>
                <a:solidFill>
                  <a:srgbClr val="333399"/>
                </a:solidFill>
                <a:prstDash val="solid"/>
              </a:ln>
            </c:spPr>
          </c:marker>
          <c:xVal>
            <c:numRef>
              <c:f>'[1]Strategy Region E66, C72'!$B$41:$B$121</c:f>
              <c:numCache>
                <c:formatCode>General</c:formatCode>
                <c:ptCount val="81"/>
                <c:pt idx="0">
                  <c:v>0.45555555555555555</c:v>
                </c:pt>
                <c:pt idx="1">
                  <c:v>0.54444444444444451</c:v>
                </c:pt>
                <c:pt idx="2">
                  <c:v>0.54444444444444451</c:v>
                </c:pt>
                <c:pt idx="3">
                  <c:v>0.6333333333333333</c:v>
                </c:pt>
                <c:pt idx="4">
                  <c:v>0.6333333333333333</c:v>
                </c:pt>
                <c:pt idx="5">
                  <c:v>0.6333333333333333</c:v>
                </c:pt>
                <c:pt idx="6">
                  <c:v>0.72222222222222221</c:v>
                </c:pt>
                <c:pt idx="7">
                  <c:v>0.72222222222222221</c:v>
                </c:pt>
                <c:pt idx="8">
                  <c:v>0.72222222222222221</c:v>
                </c:pt>
                <c:pt idx="9">
                  <c:v>0.72222222222222221</c:v>
                </c:pt>
                <c:pt idx="10">
                  <c:v>0.81111111111111112</c:v>
                </c:pt>
                <c:pt idx="11">
                  <c:v>0.81111111111111112</c:v>
                </c:pt>
                <c:pt idx="12">
                  <c:v>0.81111111111111112</c:v>
                </c:pt>
                <c:pt idx="13">
                  <c:v>0.81111111111111112</c:v>
                </c:pt>
                <c:pt idx="14">
                  <c:v>0.9</c:v>
                </c:pt>
                <c:pt idx="15">
                  <c:v>0.9</c:v>
                </c:pt>
                <c:pt idx="16">
                  <c:v>0.9</c:v>
                </c:pt>
                <c:pt idx="17">
                  <c:v>0.9</c:v>
                </c:pt>
                <c:pt idx="18">
                  <c:v>0.9</c:v>
                </c:pt>
              </c:numCache>
            </c:numRef>
          </c:xVal>
          <c:yVal>
            <c:numRef>
              <c:f>'[1]Strategy Region E66, C72'!$C$41:$C$121</c:f>
              <c:numCache>
                <c:formatCode>General</c:formatCode>
                <c:ptCount val="81"/>
                <c:pt idx="0">
                  <c:v>0.1</c:v>
                </c:pt>
                <c:pt idx="1">
                  <c:v>0.1</c:v>
                </c:pt>
                <c:pt idx="2">
                  <c:v>0.18888888888888888</c:v>
                </c:pt>
                <c:pt idx="3">
                  <c:v>0.1</c:v>
                </c:pt>
                <c:pt idx="4">
                  <c:v>0.18888888888888888</c:v>
                </c:pt>
                <c:pt idx="5">
                  <c:v>0.27777777777777779</c:v>
                </c:pt>
                <c:pt idx="6">
                  <c:v>0.1</c:v>
                </c:pt>
                <c:pt idx="7">
                  <c:v>0.18888888888888888</c:v>
                </c:pt>
                <c:pt idx="8">
                  <c:v>0.27777777777777779</c:v>
                </c:pt>
                <c:pt idx="9">
                  <c:v>0.3666666666666667</c:v>
                </c:pt>
                <c:pt idx="10">
                  <c:v>0.1</c:v>
                </c:pt>
                <c:pt idx="11">
                  <c:v>0.18888888888888888</c:v>
                </c:pt>
                <c:pt idx="12">
                  <c:v>0.27777777777777779</c:v>
                </c:pt>
                <c:pt idx="13">
                  <c:v>0.3666666666666667</c:v>
                </c:pt>
                <c:pt idx="14">
                  <c:v>0.1</c:v>
                </c:pt>
                <c:pt idx="15">
                  <c:v>0.18888888888888888</c:v>
                </c:pt>
                <c:pt idx="16">
                  <c:v>0.27777777777777779</c:v>
                </c:pt>
                <c:pt idx="17">
                  <c:v>0.3666666666666667</c:v>
                </c:pt>
                <c:pt idx="18">
                  <c:v>0.45555555555555555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293-4A76-B362-A12F09393EFF}"/>
            </c:ext>
          </c:extLst>
        </c:ser>
        <c:ser>
          <c:idx val="1"/>
          <c:order val="1"/>
          <c:tx>
            <c:v>Sell</c:v>
          </c:tx>
          <c:spPr>
            <a:ln w="19050">
              <a:noFill/>
            </a:ln>
          </c:spPr>
          <c:marker>
            <c:symbol val="triangle"/>
            <c:size val="9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xVal>
            <c:numRef>
              <c:f>'[1]Strategy Region E66, C72'!$D$41:$D$121</c:f>
              <c:numCache>
                <c:formatCode>General</c:formatCode>
                <c:ptCount val="81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0.1</c:v>
                </c:pt>
                <c:pt idx="8">
                  <c:v>0.1</c:v>
                </c:pt>
                <c:pt idx="9">
                  <c:v>0.1</c:v>
                </c:pt>
                <c:pt idx="10">
                  <c:v>0.18888888888888888</c:v>
                </c:pt>
                <c:pt idx="11">
                  <c:v>0.18888888888888888</c:v>
                </c:pt>
                <c:pt idx="12">
                  <c:v>0.18888888888888888</c:v>
                </c:pt>
                <c:pt idx="13">
                  <c:v>0.18888888888888888</c:v>
                </c:pt>
                <c:pt idx="14">
                  <c:v>0.18888888888888888</c:v>
                </c:pt>
                <c:pt idx="15">
                  <c:v>0.18888888888888888</c:v>
                </c:pt>
                <c:pt idx="16">
                  <c:v>0.18888888888888888</c:v>
                </c:pt>
                <c:pt idx="17">
                  <c:v>0.18888888888888888</c:v>
                </c:pt>
                <c:pt idx="18">
                  <c:v>0.18888888888888888</c:v>
                </c:pt>
                <c:pt idx="19">
                  <c:v>0.18888888888888888</c:v>
                </c:pt>
                <c:pt idx="20">
                  <c:v>0.27777777777777779</c:v>
                </c:pt>
                <c:pt idx="21">
                  <c:v>0.27777777777777779</c:v>
                </c:pt>
                <c:pt idx="22">
                  <c:v>0.27777777777777779</c:v>
                </c:pt>
                <c:pt idx="23">
                  <c:v>0.27777777777777779</c:v>
                </c:pt>
                <c:pt idx="24">
                  <c:v>0.27777777777777779</c:v>
                </c:pt>
                <c:pt idx="25">
                  <c:v>0.27777777777777779</c:v>
                </c:pt>
                <c:pt idx="26">
                  <c:v>0.27777777777777779</c:v>
                </c:pt>
                <c:pt idx="27">
                  <c:v>0.27777777777777779</c:v>
                </c:pt>
                <c:pt idx="28">
                  <c:v>0.27777777777777779</c:v>
                </c:pt>
                <c:pt idx="29">
                  <c:v>0.27777777777777779</c:v>
                </c:pt>
                <c:pt idx="30">
                  <c:v>0.3666666666666667</c:v>
                </c:pt>
                <c:pt idx="31">
                  <c:v>0.3666666666666667</c:v>
                </c:pt>
                <c:pt idx="32">
                  <c:v>0.3666666666666667</c:v>
                </c:pt>
                <c:pt idx="33">
                  <c:v>0.3666666666666667</c:v>
                </c:pt>
                <c:pt idx="34">
                  <c:v>0.3666666666666667</c:v>
                </c:pt>
                <c:pt idx="35">
                  <c:v>0.3666666666666667</c:v>
                </c:pt>
                <c:pt idx="36">
                  <c:v>0.3666666666666667</c:v>
                </c:pt>
                <c:pt idx="37">
                  <c:v>0.3666666666666667</c:v>
                </c:pt>
                <c:pt idx="38">
                  <c:v>0.3666666666666667</c:v>
                </c:pt>
                <c:pt idx="39">
                  <c:v>0.3666666666666667</c:v>
                </c:pt>
                <c:pt idx="40">
                  <c:v>0.45555555555555555</c:v>
                </c:pt>
                <c:pt idx="41">
                  <c:v>0.45555555555555555</c:v>
                </c:pt>
                <c:pt idx="42">
                  <c:v>0.45555555555555555</c:v>
                </c:pt>
                <c:pt idx="43">
                  <c:v>0.45555555555555555</c:v>
                </c:pt>
                <c:pt idx="44">
                  <c:v>0.45555555555555555</c:v>
                </c:pt>
                <c:pt idx="45">
                  <c:v>0.45555555555555555</c:v>
                </c:pt>
                <c:pt idx="46">
                  <c:v>0.45555555555555555</c:v>
                </c:pt>
                <c:pt idx="47">
                  <c:v>0.45555555555555555</c:v>
                </c:pt>
                <c:pt idx="48">
                  <c:v>0.45555555555555555</c:v>
                </c:pt>
                <c:pt idx="49">
                  <c:v>0.54444444444444451</c:v>
                </c:pt>
                <c:pt idx="50">
                  <c:v>0.54444444444444451</c:v>
                </c:pt>
                <c:pt idx="51">
                  <c:v>0.54444444444444451</c:v>
                </c:pt>
                <c:pt idx="52">
                  <c:v>0.54444444444444451</c:v>
                </c:pt>
                <c:pt idx="53">
                  <c:v>0.54444444444444451</c:v>
                </c:pt>
                <c:pt idx="54">
                  <c:v>0.54444444444444451</c:v>
                </c:pt>
                <c:pt idx="55">
                  <c:v>0.54444444444444451</c:v>
                </c:pt>
                <c:pt idx="56">
                  <c:v>0.54444444444444451</c:v>
                </c:pt>
                <c:pt idx="57">
                  <c:v>0.6333333333333333</c:v>
                </c:pt>
                <c:pt idx="58">
                  <c:v>0.6333333333333333</c:v>
                </c:pt>
                <c:pt idx="59">
                  <c:v>0.6333333333333333</c:v>
                </c:pt>
                <c:pt idx="60">
                  <c:v>0.6333333333333333</c:v>
                </c:pt>
                <c:pt idx="61">
                  <c:v>0.6333333333333333</c:v>
                </c:pt>
                <c:pt idx="62">
                  <c:v>0.6333333333333333</c:v>
                </c:pt>
                <c:pt idx="63">
                  <c:v>0.6333333333333333</c:v>
                </c:pt>
                <c:pt idx="64">
                  <c:v>0.72222222222222221</c:v>
                </c:pt>
                <c:pt idx="65">
                  <c:v>0.72222222222222221</c:v>
                </c:pt>
                <c:pt idx="66">
                  <c:v>0.72222222222222221</c:v>
                </c:pt>
                <c:pt idx="67">
                  <c:v>0.72222222222222221</c:v>
                </c:pt>
                <c:pt idx="68">
                  <c:v>0.72222222222222221</c:v>
                </c:pt>
                <c:pt idx="69">
                  <c:v>0.72222222222222221</c:v>
                </c:pt>
                <c:pt idx="70">
                  <c:v>0.81111111111111112</c:v>
                </c:pt>
                <c:pt idx="71">
                  <c:v>0.81111111111111112</c:v>
                </c:pt>
                <c:pt idx="72">
                  <c:v>0.81111111111111112</c:v>
                </c:pt>
                <c:pt idx="73">
                  <c:v>0.81111111111111112</c:v>
                </c:pt>
                <c:pt idx="74">
                  <c:v>0.81111111111111112</c:v>
                </c:pt>
                <c:pt idx="75">
                  <c:v>0.81111111111111112</c:v>
                </c:pt>
                <c:pt idx="76">
                  <c:v>0.9</c:v>
                </c:pt>
                <c:pt idx="77">
                  <c:v>0.9</c:v>
                </c:pt>
                <c:pt idx="78">
                  <c:v>0.9</c:v>
                </c:pt>
                <c:pt idx="79">
                  <c:v>0.9</c:v>
                </c:pt>
                <c:pt idx="80">
                  <c:v>0.9</c:v>
                </c:pt>
              </c:numCache>
            </c:numRef>
          </c:xVal>
          <c:yVal>
            <c:numRef>
              <c:f>'[1]Strategy Region E66, C72'!$E$41:$E$121</c:f>
              <c:numCache>
                <c:formatCode>General</c:formatCode>
                <c:ptCount val="81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  <c:pt idx="10">
                  <c:v>0.1</c:v>
                </c:pt>
                <c:pt idx="11">
                  <c:v>0.18888888888888888</c:v>
                </c:pt>
                <c:pt idx="12">
                  <c:v>0.27777777777777779</c:v>
                </c:pt>
                <c:pt idx="13">
                  <c:v>0.3666666666666667</c:v>
                </c:pt>
                <c:pt idx="14">
                  <c:v>0.45555555555555555</c:v>
                </c:pt>
                <c:pt idx="15">
                  <c:v>0.54444444444444451</c:v>
                </c:pt>
                <c:pt idx="16">
                  <c:v>0.6333333333333333</c:v>
                </c:pt>
                <c:pt idx="17">
                  <c:v>0.72222222222222221</c:v>
                </c:pt>
                <c:pt idx="18">
                  <c:v>0.81111111111111112</c:v>
                </c:pt>
                <c:pt idx="19">
                  <c:v>0.9</c:v>
                </c:pt>
                <c:pt idx="20">
                  <c:v>0.1</c:v>
                </c:pt>
                <c:pt idx="21">
                  <c:v>0.18888888888888888</c:v>
                </c:pt>
                <c:pt idx="22">
                  <c:v>0.27777777777777779</c:v>
                </c:pt>
                <c:pt idx="23">
                  <c:v>0.3666666666666667</c:v>
                </c:pt>
                <c:pt idx="24">
                  <c:v>0.45555555555555555</c:v>
                </c:pt>
                <c:pt idx="25">
                  <c:v>0.54444444444444451</c:v>
                </c:pt>
                <c:pt idx="26">
                  <c:v>0.6333333333333333</c:v>
                </c:pt>
                <c:pt idx="27">
                  <c:v>0.72222222222222221</c:v>
                </c:pt>
                <c:pt idx="28">
                  <c:v>0.81111111111111112</c:v>
                </c:pt>
                <c:pt idx="29">
                  <c:v>0.9</c:v>
                </c:pt>
                <c:pt idx="30">
                  <c:v>0.1</c:v>
                </c:pt>
                <c:pt idx="31">
                  <c:v>0.18888888888888888</c:v>
                </c:pt>
                <c:pt idx="32">
                  <c:v>0.27777777777777779</c:v>
                </c:pt>
                <c:pt idx="33">
                  <c:v>0.3666666666666667</c:v>
                </c:pt>
                <c:pt idx="34">
                  <c:v>0.45555555555555555</c:v>
                </c:pt>
                <c:pt idx="35">
                  <c:v>0.54444444444444451</c:v>
                </c:pt>
                <c:pt idx="36">
                  <c:v>0.6333333333333333</c:v>
                </c:pt>
                <c:pt idx="37">
                  <c:v>0.72222222222222221</c:v>
                </c:pt>
                <c:pt idx="38">
                  <c:v>0.81111111111111112</c:v>
                </c:pt>
                <c:pt idx="39">
                  <c:v>0.9</c:v>
                </c:pt>
                <c:pt idx="40">
                  <c:v>0.18888888888888888</c:v>
                </c:pt>
                <c:pt idx="41">
                  <c:v>0.27777777777777779</c:v>
                </c:pt>
                <c:pt idx="42">
                  <c:v>0.3666666666666667</c:v>
                </c:pt>
                <c:pt idx="43">
                  <c:v>0.45555555555555555</c:v>
                </c:pt>
                <c:pt idx="44">
                  <c:v>0.54444444444444451</c:v>
                </c:pt>
                <c:pt idx="45">
                  <c:v>0.6333333333333333</c:v>
                </c:pt>
                <c:pt idx="46">
                  <c:v>0.72222222222222221</c:v>
                </c:pt>
                <c:pt idx="47">
                  <c:v>0.81111111111111112</c:v>
                </c:pt>
                <c:pt idx="48">
                  <c:v>0.9</c:v>
                </c:pt>
                <c:pt idx="49">
                  <c:v>0.27777777777777779</c:v>
                </c:pt>
                <c:pt idx="50">
                  <c:v>0.3666666666666667</c:v>
                </c:pt>
                <c:pt idx="51">
                  <c:v>0.45555555555555555</c:v>
                </c:pt>
                <c:pt idx="52">
                  <c:v>0.54444444444444451</c:v>
                </c:pt>
                <c:pt idx="53">
                  <c:v>0.6333333333333333</c:v>
                </c:pt>
                <c:pt idx="54">
                  <c:v>0.72222222222222221</c:v>
                </c:pt>
                <c:pt idx="55">
                  <c:v>0.81111111111111112</c:v>
                </c:pt>
                <c:pt idx="56">
                  <c:v>0.9</c:v>
                </c:pt>
                <c:pt idx="57">
                  <c:v>0.3666666666666667</c:v>
                </c:pt>
                <c:pt idx="58">
                  <c:v>0.45555555555555555</c:v>
                </c:pt>
                <c:pt idx="59">
                  <c:v>0.54444444444444451</c:v>
                </c:pt>
                <c:pt idx="60">
                  <c:v>0.6333333333333333</c:v>
                </c:pt>
                <c:pt idx="61">
                  <c:v>0.72222222222222221</c:v>
                </c:pt>
                <c:pt idx="62">
                  <c:v>0.81111111111111112</c:v>
                </c:pt>
                <c:pt idx="63">
                  <c:v>0.9</c:v>
                </c:pt>
                <c:pt idx="64">
                  <c:v>0.45555555555555555</c:v>
                </c:pt>
                <c:pt idx="65">
                  <c:v>0.54444444444444451</c:v>
                </c:pt>
                <c:pt idx="66">
                  <c:v>0.6333333333333333</c:v>
                </c:pt>
                <c:pt idx="67">
                  <c:v>0.72222222222222221</c:v>
                </c:pt>
                <c:pt idx="68">
                  <c:v>0.81111111111111112</c:v>
                </c:pt>
                <c:pt idx="69">
                  <c:v>0.9</c:v>
                </c:pt>
                <c:pt idx="70">
                  <c:v>0.45555555555555555</c:v>
                </c:pt>
                <c:pt idx="71">
                  <c:v>0.54444444444444451</c:v>
                </c:pt>
                <c:pt idx="72">
                  <c:v>0.6333333333333333</c:v>
                </c:pt>
                <c:pt idx="73">
                  <c:v>0.72222222222222221</c:v>
                </c:pt>
                <c:pt idx="74">
                  <c:v>0.81111111111111112</c:v>
                </c:pt>
                <c:pt idx="75">
                  <c:v>0.9</c:v>
                </c:pt>
                <c:pt idx="76">
                  <c:v>0.54444444444444451</c:v>
                </c:pt>
                <c:pt idx="77">
                  <c:v>0.6333333333333333</c:v>
                </c:pt>
                <c:pt idx="78">
                  <c:v>0.72222222222222221</c:v>
                </c:pt>
                <c:pt idx="79">
                  <c:v>0.81111111111111112</c:v>
                </c:pt>
                <c:pt idx="80">
                  <c:v>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293-4A76-B362-A12F09393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9418143"/>
        <c:axId val="1822577247"/>
      </c:scatterChart>
      <c:valAx>
        <c:axId val="1819418143"/>
        <c:scaling>
          <c:orientation val="minMax"/>
          <c:max val="0.9"/>
          <c:min val="0.1"/>
        </c:scaling>
        <c:delete val="0"/>
        <c:axPos val="b"/>
        <c:title>
          <c:tx>
            <c:rich>
              <a:bodyPr/>
              <a:lstStyle/>
              <a:p>
                <a:pPr>
                  <a:defRPr sz="1400" b="1"/>
                </a:pPr>
                <a:r>
                  <a:rPr lang="en-US" sz="1400" b="1"/>
                  <a:t>ZoomInnovate (E66)</a:t>
                </a:r>
              </a:p>
            </c:rich>
          </c:tx>
          <c:layout>
            <c:manualLayout>
              <c:xMode val="edge"/>
              <c:yMode val="edge"/>
              <c:x val="0.36740801383471927"/>
              <c:y val="0.94530485760626293"/>
            </c:manualLayout>
          </c:layout>
          <c:overlay val="0"/>
        </c:title>
        <c:numFmt formatCode="0%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 sz="1050" b="0"/>
            </a:pPr>
            <a:endParaRPr lang="en-US"/>
          </a:p>
        </c:txPr>
        <c:crossAx val="1822577247"/>
        <c:crossesAt val="-1.0000000000000001E+300"/>
        <c:crossBetween val="midCat"/>
        <c:majorUnit val="0.1"/>
      </c:valAx>
      <c:valAx>
        <c:axId val="1822577247"/>
        <c:scaling>
          <c:orientation val="minMax"/>
          <c:max val="0.9"/>
          <c:min val="0.1"/>
        </c:scaling>
        <c:delete val="0"/>
        <c:axPos val="l"/>
        <c:title>
          <c:tx>
            <c:rich>
              <a:bodyPr/>
              <a:lstStyle/>
              <a:p>
                <a:pPr>
                  <a:defRPr sz="1400" b="1"/>
                </a:pPr>
                <a:r>
                  <a:rPr lang="en-US" sz="1400" b="1"/>
                  <a:t>RivalInnovate (C72)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txPr>
          <a:bodyPr/>
          <a:lstStyle/>
          <a:p>
            <a:pPr>
              <a:defRPr sz="1050" b="0"/>
            </a:pPr>
            <a:endParaRPr lang="en-US"/>
          </a:p>
        </c:txPr>
        <c:crossAx val="1819418143"/>
        <c:crossesAt val="-1.0000000000000001E+300"/>
        <c:crossBetween val="midCat"/>
        <c:majorUnit val="0.1"/>
      </c:valAx>
    </c:plotArea>
    <c:legend>
      <c:legendPos val="r"/>
      <c:layout>
        <c:manualLayout>
          <c:xMode val="edge"/>
          <c:yMode val="edge"/>
          <c:x val="0.82827415556700268"/>
          <c:y val="7.2284551887860968E-2"/>
          <c:w val="0.14836135845168888"/>
          <c:h val="9.7433016500095143E-2"/>
        </c:manualLayout>
      </c:layout>
      <c:overlay val="0"/>
      <c:spPr>
        <a:solidFill>
          <a:schemeClr val="accent5">
            <a:lumMod val="20000"/>
            <a:lumOff val="80000"/>
          </a:schemeClr>
        </a:solidFill>
        <a:ln w="25400">
          <a:noFill/>
        </a:ln>
        <a:effectLst>
          <a:outerShdw blurRad="114300" dist="76200" dir="2700000" algn="tl" rotWithShape="0">
            <a:prstClr val="black">
              <a:alpha val="40000"/>
            </a:prstClr>
          </a:outerShdw>
        </a:effectLst>
      </c:spPr>
      <c:txPr>
        <a:bodyPr/>
        <a:lstStyle/>
        <a:p>
          <a:pPr>
            <a:defRPr sz="1600"/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25400"/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n-US"/>
              <a:t>Sensitivity of Decision Tree 'Sell Zoom?'</a:t>
            </a:r>
            <a:r>
              <a:rPr lang="en-US" sz="800" b="0"/>
              <a:t>
Expected Value of Node 'SellNow?' (B97) </a:t>
            </a:r>
          </a:p>
        </c:rich>
      </c:tx>
      <c:overlay val="0"/>
    </c:title>
    <c:autoTitleDeleted val="0"/>
    <c:view3D>
      <c:rotX val="22"/>
      <c:rotY val="20"/>
      <c:rAngAx val="0"/>
      <c:perspective val="40"/>
    </c:view3D>
    <c:floor>
      <c:thickness val="0"/>
      <c:spPr>
        <a:noFill/>
      </c:spPr>
    </c:floor>
    <c:sideWall>
      <c:thickness val="0"/>
      <c:spPr>
        <a:noFill/>
      </c:spPr>
    </c:sideWall>
    <c:backWall>
      <c:thickness val="0"/>
      <c:spPr>
        <a:noFill/>
      </c:spPr>
    </c:backWall>
    <c:plotArea>
      <c:layout>
        <c:manualLayout>
          <c:layoutTarget val="inner"/>
          <c:xMode val="edge"/>
          <c:yMode val="edge"/>
          <c:x val="0.16163845757598058"/>
          <c:y val="0.10222103422342634"/>
          <c:w val="0.73392762528515698"/>
          <c:h val="0.8450201607422777"/>
        </c:manualLayout>
      </c:layout>
      <c:surface3DChart>
        <c:wireframe val="0"/>
        <c:ser>
          <c:idx val="0"/>
          <c:order val="0"/>
          <c:tx>
            <c:strRef>
              <c:f>'[1]Sensitivity E66, C72'!$C$42</c:f>
              <c:strCache>
                <c:ptCount val="1"/>
                <c:pt idx="0">
                  <c:v>0.1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C72'!$D$42:$M$42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76809129.205380499</c:v>
                </c:pt>
                <c:pt idx="5">
                  <c:v>84378283.574320048</c:v>
                </c:pt>
                <c:pt idx="6">
                  <c:v>91947437.943259582</c:v>
                </c:pt>
                <c:pt idx="7">
                  <c:v>99516592.312199131</c:v>
                </c:pt>
                <c:pt idx="8">
                  <c:v>107085746.68113869</c:v>
                </c:pt>
                <c:pt idx="9">
                  <c:v>114654901.05007824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D7-48FE-AB98-D61F6AB01A56}"/>
            </c:ext>
          </c:extLst>
        </c:ser>
        <c:ser>
          <c:idx val="1"/>
          <c:order val="1"/>
          <c:tx>
            <c:strRef>
              <c:f>'[1]Sensitivity E66, C72'!$C$43</c:f>
              <c:strCache>
                <c:ptCount val="1"/>
                <c:pt idx="0">
                  <c:v>0.188888889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C72'!$D$43:$M$43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77081307.85024187</c:v>
                </c:pt>
                <c:pt idx="6">
                  <c:v>83987933.970224291</c:v>
                </c:pt>
                <c:pt idx="7">
                  <c:v>90894560.090206712</c:v>
                </c:pt>
                <c:pt idx="8">
                  <c:v>97801186.210189164</c:v>
                </c:pt>
                <c:pt idx="9">
                  <c:v>104707812.33017161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D7-48FE-AB98-D61F6AB01A56}"/>
            </c:ext>
          </c:extLst>
        </c:ser>
        <c:ser>
          <c:idx val="2"/>
          <c:order val="2"/>
          <c:tx>
            <c:strRef>
              <c:f>'[1]Sensitivity E66, C72'!$C$44</c:f>
              <c:strCache>
                <c:ptCount val="1"/>
                <c:pt idx="0">
                  <c:v>0.277777778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C72'!$D$44:$M$44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76028429.997189</c:v>
                </c:pt>
                <c:pt idx="7">
                  <c:v>82272527.868214324</c:v>
                </c:pt>
                <c:pt idx="8">
                  <c:v>88516625.739239648</c:v>
                </c:pt>
                <c:pt idx="9">
                  <c:v>94760723.610264972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D7-48FE-AB98-D61F6AB01A56}"/>
            </c:ext>
          </c:extLst>
        </c:ser>
        <c:ser>
          <c:idx val="3"/>
          <c:order val="3"/>
          <c:tx>
            <c:strRef>
              <c:f>'[1]Sensitivity E66, C72'!$C$45</c:f>
              <c:strCache>
                <c:ptCount val="1"/>
                <c:pt idx="0">
                  <c:v>0.366666667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C72'!$D$45:$M$45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73650495.646221921</c:v>
                </c:pt>
                <c:pt idx="8">
                  <c:v>79232065.268290132</c:v>
                </c:pt>
                <c:pt idx="9">
                  <c:v>84813634.890358344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2D7-48FE-AB98-D61F6AB01A56}"/>
            </c:ext>
          </c:extLst>
        </c:ser>
        <c:ser>
          <c:idx val="4"/>
          <c:order val="4"/>
          <c:tx>
            <c:strRef>
              <c:f>'[1]Sensitivity E66, C72'!$C$46</c:f>
              <c:strCache>
                <c:ptCount val="1"/>
                <c:pt idx="0">
                  <c:v>0.455555556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C72'!$D$46:$M$46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72389250</c:v>
                </c:pt>
                <c:pt idx="8">
                  <c:v>72389250</c:v>
                </c:pt>
                <c:pt idx="9">
                  <c:v>74866546.170451745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2D7-48FE-AB98-D61F6AB01A56}"/>
            </c:ext>
          </c:extLst>
        </c:ser>
        <c:ser>
          <c:idx val="5"/>
          <c:order val="5"/>
          <c:tx>
            <c:strRef>
              <c:f>'[1]Sensitivity E66, C72'!$C$47</c:f>
              <c:strCache>
                <c:ptCount val="1"/>
                <c:pt idx="0">
                  <c:v>0.544444444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C72'!$D$47:$M$47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72389250</c:v>
                </c:pt>
                <c:pt idx="8">
                  <c:v>72389250</c:v>
                </c:pt>
                <c:pt idx="9">
                  <c:v>72389250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2D7-48FE-AB98-D61F6AB01A56}"/>
            </c:ext>
          </c:extLst>
        </c:ser>
        <c:ser>
          <c:idx val="6"/>
          <c:order val="6"/>
          <c:tx>
            <c:strRef>
              <c:f>'[1]Sensitivity E66, C72'!$C$48</c:f>
              <c:strCache>
                <c:ptCount val="1"/>
                <c:pt idx="0">
                  <c:v>0.633333333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C72'!$D$48:$M$48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72389250</c:v>
                </c:pt>
                <c:pt idx="8">
                  <c:v>72389250</c:v>
                </c:pt>
                <c:pt idx="9">
                  <c:v>72389250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2D7-48FE-AB98-D61F6AB01A56}"/>
            </c:ext>
          </c:extLst>
        </c:ser>
        <c:ser>
          <c:idx val="7"/>
          <c:order val="7"/>
          <c:tx>
            <c:strRef>
              <c:f>'[1]Sensitivity E66, C72'!$C$49</c:f>
              <c:strCache>
                <c:ptCount val="1"/>
                <c:pt idx="0">
                  <c:v>0.722222222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C72'!$D$49:$M$49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72389250</c:v>
                </c:pt>
                <c:pt idx="8">
                  <c:v>72389250</c:v>
                </c:pt>
                <c:pt idx="9">
                  <c:v>72389250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2D7-48FE-AB98-D61F6AB01A56}"/>
            </c:ext>
          </c:extLst>
        </c:ser>
        <c:ser>
          <c:idx val="8"/>
          <c:order val="8"/>
          <c:tx>
            <c:strRef>
              <c:f>'[1]Sensitivity E66, C72'!$C$50</c:f>
              <c:strCache>
                <c:ptCount val="1"/>
                <c:pt idx="0">
                  <c:v>0.811111111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C72'!$D$50:$M$50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72389250</c:v>
                </c:pt>
                <c:pt idx="8">
                  <c:v>72389250</c:v>
                </c:pt>
                <c:pt idx="9">
                  <c:v>72389250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2D7-48FE-AB98-D61F6AB01A56}"/>
            </c:ext>
          </c:extLst>
        </c:ser>
        <c:ser>
          <c:idx val="9"/>
          <c:order val="9"/>
          <c:tx>
            <c:strRef>
              <c:f>'[1]Sensitivity E66, C72'!$C$51</c:f>
              <c:strCache>
                <c:ptCount val="1"/>
                <c:pt idx="0">
                  <c:v>0.9</c:v>
                </c:pt>
              </c:strCache>
            </c:strRef>
          </c:tx>
          <c:cat>
            <c:numRef>
              <c:f>'[1]Sensitivity E66, C72'!$D$41:$M$41</c:f>
              <c:numCache>
                <c:formatCode>General</c:formatCode>
                <c:ptCount val="10"/>
                <c:pt idx="0">
                  <c:v>0.1</c:v>
                </c:pt>
                <c:pt idx="1">
                  <c:v>0.18888888888888888</c:v>
                </c:pt>
                <c:pt idx="2">
                  <c:v>0.27777777777777779</c:v>
                </c:pt>
                <c:pt idx="3">
                  <c:v>0.3666666666666667</c:v>
                </c:pt>
                <c:pt idx="4">
                  <c:v>0.45555555555555555</c:v>
                </c:pt>
                <c:pt idx="5">
                  <c:v>0.54444444444444451</c:v>
                </c:pt>
                <c:pt idx="6">
                  <c:v>0.6333333333333333</c:v>
                </c:pt>
                <c:pt idx="7">
                  <c:v>0.72222222222222221</c:v>
                </c:pt>
                <c:pt idx="8">
                  <c:v>0.81111111111111112</c:v>
                </c:pt>
                <c:pt idx="9">
                  <c:v>0.9</c:v>
                </c:pt>
              </c:numCache>
            </c:numRef>
          </c:cat>
          <c:val>
            <c:numRef>
              <c:f>'[1]Sensitivity E66, C72'!$D$51:$M$51</c:f>
              <c:numCache>
                <c:formatCode>General</c:formatCode>
                <c:ptCount val="10"/>
                <c:pt idx="0">
                  <c:v>72389250</c:v>
                </c:pt>
                <c:pt idx="1">
                  <c:v>72389250</c:v>
                </c:pt>
                <c:pt idx="2">
                  <c:v>72389250</c:v>
                </c:pt>
                <c:pt idx="3">
                  <c:v>72389250</c:v>
                </c:pt>
                <c:pt idx="4">
                  <c:v>72389250</c:v>
                </c:pt>
                <c:pt idx="5">
                  <c:v>72389250</c:v>
                </c:pt>
                <c:pt idx="6">
                  <c:v>72389250</c:v>
                </c:pt>
                <c:pt idx="7">
                  <c:v>72389250</c:v>
                </c:pt>
                <c:pt idx="8">
                  <c:v>72389250</c:v>
                </c:pt>
                <c:pt idx="9">
                  <c:v>72389250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2D7-48FE-AB98-D61F6AB01A56}"/>
            </c:ext>
          </c:extLst>
        </c:ser>
        <c:bandFmts>
          <c:bandFmt>
            <c:idx val="0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1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2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3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4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5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6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7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  <c:bandFmt>
            <c:idx val="8"/>
            <c:spPr>
              <a:solidFill>
                <a:srgbClr val="3366FF"/>
              </a:solidFill>
              <a:ln>
                <a:solidFill>
                  <a:srgbClr val="C0C0C0"/>
                </a:solidFill>
                <a:prstDash val="solid"/>
              </a:ln>
            </c:spPr>
          </c:bandFmt>
        </c:bandFmts>
        <c:axId val="1814909679"/>
        <c:axId val="1824476127"/>
        <c:axId val="1851191151"/>
      </c:surface3DChart>
      <c:catAx>
        <c:axId val="1814909679"/>
        <c:scaling>
          <c:orientation val="minMax"/>
        </c:scaling>
        <c:delete val="0"/>
        <c:axPos val="b"/>
        <c:majorGridlines>
          <c:spPr>
            <a:ln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ZoomInnovate (E66)</a:t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>
            <a:solidFill>
              <a:srgbClr val="C0C0C0"/>
            </a:solidFill>
            <a:prstDash val="solid"/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824476127"/>
        <c:crosses val="min"/>
        <c:auto val="1"/>
        <c:lblAlgn val="ctr"/>
        <c:lblOffset val="100"/>
        <c:noMultiLvlLbl val="0"/>
      </c:catAx>
      <c:valAx>
        <c:axId val="1824476127"/>
        <c:scaling>
          <c:orientation val="minMax"/>
          <c:max val="115000000"/>
          <c:min val="70000000"/>
        </c:scaling>
        <c:delete val="0"/>
        <c:axPos val="l"/>
        <c:majorGridlines>
          <c:spPr>
            <a:ln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800" b="0"/>
                </a:pPr>
                <a:r>
                  <a:rPr lang="en-US"/>
                  <a:t>Expected Value</a:t>
                </a:r>
              </a:p>
            </c:rich>
          </c:tx>
          <c:overlay val="0"/>
        </c:title>
        <c:numFmt formatCode="&quot;$&quot;#,##0;[Red]&quot;$&quot;#,##0" sourceLinked="0"/>
        <c:majorTickMark val="none"/>
        <c:minorTickMark val="none"/>
        <c:tickLblPos val="nextTo"/>
        <c:spPr>
          <a:ln>
            <a:solidFill>
              <a:srgbClr val="C0C0C0"/>
            </a:solidFill>
            <a:prstDash val="solid"/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814909679"/>
        <c:crosses val="autoZero"/>
        <c:crossBetween val="midCat"/>
        <c:majorUnit val="5000000"/>
      </c:valAx>
      <c:serAx>
        <c:axId val="1851191151"/>
        <c:scaling>
          <c:orientation val="minMax"/>
        </c:scaling>
        <c:delete val="0"/>
        <c:axPos val="b"/>
        <c:majorGridlines>
          <c:spPr>
            <a:ln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0"/>
                </a:pPr>
                <a:r>
                  <a:rPr lang="en-US"/>
                  <a:t>RivalInnovate (C72)</a:t>
                </a:r>
              </a:p>
            </c:rich>
          </c:tx>
          <c:layout>
            <c:manualLayout>
              <c:xMode val="edge"/>
              <c:yMode val="edge"/>
              <c:x val="0.82711108249319298"/>
              <c:y val="0.88687531147214194"/>
            </c:manualLayout>
          </c:layout>
          <c:overlay val="0"/>
        </c:title>
        <c:numFmt formatCode="0%" sourceLinked="0"/>
        <c:majorTickMark val="none"/>
        <c:minorTickMark val="none"/>
        <c:tickLblPos val="nextTo"/>
        <c:spPr>
          <a:ln>
            <a:solidFill>
              <a:srgbClr val="C0C0C0"/>
            </a:solidFill>
            <a:prstDash val="solid"/>
          </a:ln>
        </c:spPr>
        <c:txPr>
          <a:bodyPr/>
          <a:lstStyle/>
          <a:p>
            <a:pPr>
              <a:defRPr sz="800"/>
            </a:pPr>
            <a:endParaRPr lang="en-US"/>
          </a:p>
        </c:txPr>
        <c:crossAx val="1824476127"/>
        <c:crosses val="min"/>
      </c:serAx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25400"/>
  </c:sp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242697</xdr:colOff>
      <xdr:row>29</xdr:row>
      <xdr:rowOff>185420</xdr:rowOff>
    </xdr:from>
    <xdr:to>
      <xdr:col>4</xdr:col>
      <xdr:colOff>127</xdr:colOff>
      <xdr:row>29</xdr:row>
      <xdr:rowOff>185420</xdr:rowOff>
    </xdr:to>
    <xdr:cxnSp macro="_xll.PtreeEvent_ObjectClick">
      <xdr:nvCxnSpPr>
        <xdr:cNvPr id="168" name="PTObj_DBranchHLine_2_15">
          <a:extLst>
            <a:ext uri="{FF2B5EF4-FFF2-40B4-BE49-F238E27FC236}">
              <a16:creationId xmlns:a16="http://schemas.microsoft.com/office/drawing/2014/main" id="{D98E9497-D5A3-41A2-8334-24C6D3802B4B}"/>
            </a:ext>
          </a:extLst>
        </xdr:cNvPr>
        <xdr:cNvCxnSpPr/>
      </xdr:nvCxnSpPr>
      <xdr:spPr>
        <a:xfrm>
          <a:off x="3709797" y="5709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27</xdr:row>
      <xdr:rowOff>180340</xdr:rowOff>
    </xdr:from>
    <xdr:to>
      <xdr:col>3</xdr:col>
      <xdr:colOff>242697</xdr:colOff>
      <xdr:row>29</xdr:row>
      <xdr:rowOff>185420</xdr:rowOff>
    </xdr:to>
    <xdr:cxnSp macro="_xll.PtreeEvent_ObjectClick">
      <xdr:nvCxnSpPr>
        <xdr:cNvPr id="167" name="PTObj_DBranchDLine_2_15">
          <a:extLst>
            <a:ext uri="{FF2B5EF4-FFF2-40B4-BE49-F238E27FC236}">
              <a16:creationId xmlns:a16="http://schemas.microsoft.com/office/drawing/2014/main" id="{A652446C-112F-48AE-8302-1165ECBC806B}"/>
            </a:ext>
          </a:extLst>
        </xdr:cNvPr>
        <xdr:cNvCxnSpPr/>
      </xdr:nvCxnSpPr>
      <xdr:spPr>
        <a:xfrm>
          <a:off x="3557397" y="5323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25</xdr:row>
      <xdr:rowOff>185420</xdr:rowOff>
    </xdr:from>
    <xdr:to>
      <xdr:col>4</xdr:col>
      <xdr:colOff>127</xdr:colOff>
      <xdr:row>25</xdr:row>
      <xdr:rowOff>185420</xdr:rowOff>
    </xdr:to>
    <xdr:cxnSp macro="_xll.PtreeEvent_ObjectClick">
      <xdr:nvCxnSpPr>
        <xdr:cNvPr id="164" name="PTObj_DBranchHLine_2_14">
          <a:extLst>
            <a:ext uri="{FF2B5EF4-FFF2-40B4-BE49-F238E27FC236}">
              <a16:creationId xmlns:a16="http://schemas.microsoft.com/office/drawing/2014/main" id="{7EB68141-BCF6-4CC8-82D9-85B24057DDEB}"/>
            </a:ext>
          </a:extLst>
        </xdr:cNvPr>
        <xdr:cNvCxnSpPr/>
      </xdr:nvCxnSpPr>
      <xdr:spPr>
        <a:xfrm>
          <a:off x="3709797" y="4947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25</xdr:row>
      <xdr:rowOff>185420</xdr:rowOff>
    </xdr:from>
    <xdr:to>
      <xdr:col>3</xdr:col>
      <xdr:colOff>242697</xdr:colOff>
      <xdr:row>27</xdr:row>
      <xdr:rowOff>180340</xdr:rowOff>
    </xdr:to>
    <xdr:cxnSp macro="_xll.PtreeEvent_ObjectClick">
      <xdr:nvCxnSpPr>
        <xdr:cNvPr id="163" name="PTObj_DBranchDLine_2_14">
          <a:extLst>
            <a:ext uri="{FF2B5EF4-FFF2-40B4-BE49-F238E27FC236}">
              <a16:creationId xmlns:a16="http://schemas.microsoft.com/office/drawing/2014/main" id="{5F7C1D89-9046-46DC-AFD6-657A3A1203E1}"/>
            </a:ext>
          </a:extLst>
        </xdr:cNvPr>
        <xdr:cNvCxnSpPr/>
      </xdr:nvCxnSpPr>
      <xdr:spPr>
        <a:xfrm flipV="1">
          <a:off x="3557397" y="4947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27</xdr:row>
      <xdr:rowOff>185420</xdr:rowOff>
    </xdr:from>
    <xdr:to>
      <xdr:col>3</xdr:col>
      <xdr:colOff>127</xdr:colOff>
      <xdr:row>27</xdr:row>
      <xdr:rowOff>185420</xdr:rowOff>
    </xdr:to>
    <xdr:cxnSp macro="_xll.PtreeEvent_ObjectClick">
      <xdr:nvCxnSpPr>
        <xdr:cNvPr id="160" name="PTObj_DBranchHLine_2_13">
          <a:extLst>
            <a:ext uri="{FF2B5EF4-FFF2-40B4-BE49-F238E27FC236}">
              <a16:creationId xmlns:a16="http://schemas.microsoft.com/office/drawing/2014/main" id="{0D0A0691-7388-46FB-BB2E-636C819E6654}"/>
            </a:ext>
          </a:extLst>
        </xdr:cNvPr>
        <xdr:cNvCxnSpPr/>
      </xdr:nvCxnSpPr>
      <xdr:spPr>
        <a:xfrm>
          <a:off x="2566797" y="5328920"/>
          <a:ext cx="9004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23</xdr:row>
      <xdr:rowOff>180340</xdr:rowOff>
    </xdr:from>
    <xdr:to>
      <xdr:col>2</xdr:col>
      <xdr:colOff>242697</xdr:colOff>
      <xdr:row>27</xdr:row>
      <xdr:rowOff>185420</xdr:rowOff>
    </xdr:to>
    <xdr:cxnSp macro="_xll.PtreeEvent_ObjectClick">
      <xdr:nvCxnSpPr>
        <xdr:cNvPr id="159" name="PTObj_DBranchDLine_2_13">
          <a:extLst>
            <a:ext uri="{FF2B5EF4-FFF2-40B4-BE49-F238E27FC236}">
              <a16:creationId xmlns:a16="http://schemas.microsoft.com/office/drawing/2014/main" id="{B3E1C8FB-DA42-46F8-84B0-2ECCE6F6366F}"/>
            </a:ext>
          </a:extLst>
        </xdr:cNvPr>
        <xdr:cNvCxnSpPr/>
      </xdr:nvCxnSpPr>
      <xdr:spPr>
        <a:xfrm>
          <a:off x="2414397" y="4561840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21</xdr:row>
      <xdr:rowOff>185420</xdr:rowOff>
    </xdr:from>
    <xdr:to>
      <xdr:col>4</xdr:col>
      <xdr:colOff>127</xdr:colOff>
      <xdr:row>21</xdr:row>
      <xdr:rowOff>185420</xdr:rowOff>
    </xdr:to>
    <xdr:cxnSp macro="_xll.PtreeEvent_ObjectClick">
      <xdr:nvCxnSpPr>
        <xdr:cNvPr id="156" name="PTObj_DBranchHLine_2_12">
          <a:extLst>
            <a:ext uri="{FF2B5EF4-FFF2-40B4-BE49-F238E27FC236}">
              <a16:creationId xmlns:a16="http://schemas.microsoft.com/office/drawing/2014/main" id="{0D2A7E7E-AA82-45B0-8655-14E6BF96EBDE}"/>
            </a:ext>
          </a:extLst>
        </xdr:cNvPr>
        <xdr:cNvCxnSpPr/>
      </xdr:nvCxnSpPr>
      <xdr:spPr>
        <a:xfrm>
          <a:off x="3709797" y="4185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19</xdr:row>
      <xdr:rowOff>180340</xdr:rowOff>
    </xdr:from>
    <xdr:to>
      <xdr:col>3</xdr:col>
      <xdr:colOff>242697</xdr:colOff>
      <xdr:row>21</xdr:row>
      <xdr:rowOff>185420</xdr:rowOff>
    </xdr:to>
    <xdr:cxnSp macro="_xll.PtreeEvent_ObjectClick">
      <xdr:nvCxnSpPr>
        <xdr:cNvPr id="155" name="PTObj_DBranchDLine_2_12">
          <a:extLst>
            <a:ext uri="{FF2B5EF4-FFF2-40B4-BE49-F238E27FC236}">
              <a16:creationId xmlns:a16="http://schemas.microsoft.com/office/drawing/2014/main" id="{5F4EFFFE-69CD-462E-9184-2A5D69B5A2F4}"/>
            </a:ext>
          </a:extLst>
        </xdr:cNvPr>
        <xdr:cNvCxnSpPr/>
      </xdr:nvCxnSpPr>
      <xdr:spPr>
        <a:xfrm>
          <a:off x="3557397" y="3799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17</xdr:row>
      <xdr:rowOff>185420</xdr:rowOff>
    </xdr:from>
    <xdr:to>
      <xdr:col>4</xdr:col>
      <xdr:colOff>127</xdr:colOff>
      <xdr:row>17</xdr:row>
      <xdr:rowOff>185420</xdr:rowOff>
    </xdr:to>
    <xdr:cxnSp macro="_xll.PtreeEvent_ObjectClick">
      <xdr:nvCxnSpPr>
        <xdr:cNvPr id="152" name="PTObj_DBranchHLine_2_11">
          <a:extLst>
            <a:ext uri="{FF2B5EF4-FFF2-40B4-BE49-F238E27FC236}">
              <a16:creationId xmlns:a16="http://schemas.microsoft.com/office/drawing/2014/main" id="{644C1CAB-8D9C-4E2B-B5B9-43977D5DFFAC}"/>
            </a:ext>
          </a:extLst>
        </xdr:cNvPr>
        <xdr:cNvCxnSpPr/>
      </xdr:nvCxnSpPr>
      <xdr:spPr>
        <a:xfrm>
          <a:off x="3709797" y="3423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17</xdr:row>
      <xdr:rowOff>185420</xdr:rowOff>
    </xdr:from>
    <xdr:to>
      <xdr:col>3</xdr:col>
      <xdr:colOff>242697</xdr:colOff>
      <xdr:row>19</xdr:row>
      <xdr:rowOff>180340</xdr:rowOff>
    </xdr:to>
    <xdr:cxnSp macro="_xll.PtreeEvent_ObjectClick">
      <xdr:nvCxnSpPr>
        <xdr:cNvPr id="151" name="PTObj_DBranchDLine_2_11">
          <a:extLst>
            <a:ext uri="{FF2B5EF4-FFF2-40B4-BE49-F238E27FC236}">
              <a16:creationId xmlns:a16="http://schemas.microsoft.com/office/drawing/2014/main" id="{FBAB4792-BF65-4364-9F63-AED1D98870E8}"/>
            </a:ext>
          </a:extLst>
        </xdr:cNvPr>
        <xdr:cNvCxnSpPr/>
      </xdr:nvCxnSpPr>
      <xdr:spPr>
        <a:xfrm flipV="1">
          <a:off x="3557397" y="3423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19</xdr:row>
      <xdr:rowOff>185420</xdr:rowOff>
    </xdr:from>
    <xdr:to>
      <xdr:col>3</xdr:col>
      <xdr:colOff>127</xdr:colOff>
      <xdr:row>19</xdr:row>
      <xdr:rowOff>185420</xdr:rowOff>
    </xdr:to>
    <xdr:cxnSp macro="_xll.PtreeEvent_ObjectClick">
      <xdr:nvCxnSpPr>
        <xdr:cNvPr id="148" name="PTObj_DBranchHLine_2_10">
          <a:extLst>
            <a:ext uri="{FF2B5EF4-FFF2-40B4-BE49-F238E27FC236}">
              <a16:creationId xmlns:a16="http://schemas.microsoft.com/office/drawing/2014/main" id="{6057F46F-B072-4E2B-B62D-BE2A25A324A7}"/>
            </a:ext>
          </a:extLst>
        </xdr:cNvPr>
        <xdr:cNvCxnSpPr/>
      </xdr:nvCxnSpPr>
      <xdr:spPr>
        <a:xfrm>
          <a:off x="2566797" y="3804920"/>
          <a:ext cx="9004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19</xdr:row>
      <xdr:rowOff>185420</xdr:rowOff>
    </xdr:from>
    <xdr:to>
      <xdr:col>2</xdr:col>
      <xdr:colOff>242697</xdr:colOff>
      <xdr:row>23</xdr:row>
      <xdr:rowOff>180340</xdr:rowOff>
    </xdr:to>
    <xdr:cxnSp macro="_xll.PtreeEvent_ObjectClick">
      <xdr:nvCxnSpPr>
        <xdr:cNvPr id="147" name="PTObj_DBranchDLine_2_10">
          <a:extLst>
            <a:ext uri="{FF2B5EF4-FFF2-40B4-BE49-F238E27FC236}">
              <a16:creationId xmlns:a16="http://schemas.microsoft.com/office/drawing/2014/main" id="{E7758E30-BF93-45EF-9CD2-B7681E155CD1}"/>
            </a:ext>
          </a:extLst>
        </xdr:cNvPr>
        <xdr:cNvCxnSpPr/>
      </xdr:nvCxnSpPr>
      <xdr:spPr>
        <a:xfrm flipV="1">
          <a:off x="2414397" y="3804920"/>
          <a:ext cx="152400" cy="756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242697</xdr:colOff>
      <xdr:row>23</xdr:row>
      <xdr:rowOff>185420</xdr:rowOff>
    </xdr:from>
    <xdr:to>
      <xdr:col>2</xdr:col>
      <xdr:colOff>127</xdr:colOff>
      <xdr:row>23</xdr:row>
      <xdr:rowOff>185420</xdr:rowOff>
    </xdr:to>
    <xdr:cxnSp macro="_xll.PtreeEvent_ObjectClick">
      <xdr:nvCxnSpPr>
        <xdr:cNvPr id="144" name="PTObj_DBranchHLine_2_9">
          <a:extLst>
            <a:ext uri="{FF2B5EF4-FFF2-40B4-BE49-F238E27FC236}">
              <a16:creationId xmlns:a16="http://schemas.microsoft.com/office/drawing/2014/main" id="{10517A8D-9284-489A-AF4E-4525FBAAF12B}"/>
            </a:ext>
          </a:extLst>
        </xdr:cNvPr>
        <xdr:cNvCxnSpPr/>
      </xdr:nvCxnSpPr>
      <xdr:spPr>
        <a:xfrm>
          <a:off x="1442847" y="4566920"/>
          <a:ext cx="8813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90297</xdr:colOff>
      <xdr:row>15</xdr:row>
      <xdr:rowOff>180340</xdr:rowOff>
    </xdr:from>
    <xdr:to>
      <xdr:col>1</xdr:col>
      <xdr:colOff>242697</xdr:colOff>
      <xdr:row>23</xdr:row>
      <xdr:rowOff>185420</xdr:rowOff>
    </xdr:to>
    <xdr:cxnSp macro="_xll.PtreeEvent_ObjectClick">
      <xdr:nvCxnSpPr>
        <xdr:cNvPr id="143" name="PTObj_DBranchDLine_2_9">
          <a:extLst>
            <a:ext uri="{FF2B5EF4-FFF2-40B4-BE49-F238E27FC236}">
              <a16:creationId xmlns:a16="http://schemas.microsoft.com/office/drawing/2014/main" id="{2E8E7D60-2362-4459-925C-AF0F10852414}"/>
            </a:ext>
          </a:extLst>
        </xdr:cNvPr>
        <xdr:cNvCxnSpPr/>
      </xdr:nvCxnSpPr>
      <xdr:spPr>
        <a:xfrm>
          <a:off x="1290447" y="3037840"/>
          <a:ext cx="152400" cy="1529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13</xdr:row>
      <xdr:rowOff>185420</xdr:rowOff>
    </xdr:from>
    <xdr:to>
      <xdr:col>4</xdr:col>
      <xdr:colOff>127</xdr:colOff>
      <xdr:row>13</xdr:row>
      <xdr:rowOff>185420</xdr:rowOff>
    </xdr:to>
    <xdr:cxnSp macro="_xll.PtreeEvent_ObjectClick">
      <xdr:nvCxnSpPr>
        <xdr:cNvPr id="140" name="PTObj_DBranchHLine_2_8">
          <a:extLst>
            <a:ext uri="{FF2B5EF4-FFF2-40B4-BE49-F238E27FC236}">
              <a16:creationId xmlns:a16="http://schemas.microsoft.com/office/drawing/2014/main" id="{60B1B4D8-CFD3-4021-ACCC-E7B8722A78DB}"/>
            </a:ext>
          </a:extLst>
        </xdr:cNvPr>
        <xdr:cNvCxnSpPr/>
      </xdr:nvCxnSpPr>
      <xdr:spPr>
        <a:xfrm>
          <a:off x="3709797" y="2661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11</xdr:row>
      <xdr:rowOff>180340</xdr:rowOff>
    </xdr:from>
    <xdr:to>
      <xdr:col>3</xdr:col>
      <xdr:colOff>242697</xdr:colOff>
      <xdr:row>13</xdr:row>
      <xdr:rowOff>185420</xdr:rowOff>
    </xdr:to>
    <xdr:cxnSp macro="_xll.PtreeEvent_ObjectClick">
      <xdr:nvCxnSpPr>
        <xdr:cNvPr id="139" name="PTObj_DBranchDLine_2_8">
          <a:extLst>
            <a:ext uri="{FF2B5EF4-FFF2-40B4-BE49-F238E27FC236}">
              <a16:creationId xmlns:a16="http://schemas.microsoft.com/office/drawing/2014/main" id="{234BB47B-7940-406B-A514-37FD0A96047F}"/>
            </a:ext>
          </a:extLst>
        </xdr:cNvPr>
        <xdr:cNvCxnSpPr/>
      </xdr:nvCxnSpPr>
      <xdr:spPr>
        <a:xfrm>
          <a:off x="3557397" y="2275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9</xdr:row>
      <xdr:rowOff>185420</xdr:rowOff>
    </xdr:from>
    <xdr:to>
      <xdr:col>4</xdr:col>
      <xdr:colOff>127</xdr:colOff>
      <xdr:row>9</xdr:row>
      <xdr:rowOff>185420</xdr:rowOff>
    </xdr:to>
    <xdr:cxnSp macro="_xll.PtreeEvent_ObjectClick">
      <xdr:nvCxnSpPr>
        <xdr:cNvPr id="136" name="PTObj_DBranchHLine_2_7">
          <a:extLst>
            <a:ext uri="{FF2B5EF4-FFF2-40B4-BE49-F238E27FC236}">
              <a16:creationId xmlns:a16="http://schemas.microsoft.com/office/drawing/2014/main" id="{57FAB89C-4FFD-4F16-BD9B-A3E46636BA07}"/>
            </a:ext>
          </a:extLst>
        </xdr:cNvPr>
        <xdr:cNvCxnSpPr/>
      </xdr:nvCxnSpPr>
      <xdr:spPr>
        <a:xfrm>
          <a:off x="3709797" y="1899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9</xdr:row>
      <xdr:rowOff>185420</xdr:rowOff>
    </xdr:from>
    <xdr:to>
      <xdr:col>3</xdr:col>
      <xdr:colOff>242697</xdr:colOff>
      <xdr:row>11</xdr:row>
      <xdr:rowOff>180340</xdr:rowOff>
    </xdr:to>
    <xdr:cxnSp macro="_xll.PtreeEvent_ObjectClick">
      <xdr:nvCxnSpPr>
        <xdr:cNvPr id="135" name="PTObj_DBranchDLine_2_7">
          <a:extLst>
            <a:ext uri="{FF2B5EF4-FFF2-40B4-BE49-F238E27FC236}">
              <a16:creationId xmlns:a16="http://schemas.microsoft.com/office/drawing/2014/main" id="{54C9D340-64BD-41AF-98F4-1138CF199ED2}"/>
            </a:ext>
          </a:extLst>
        </xdr:cNvPr>
        <xdr:cNvCxnSpPr/>
      </xdr:nvCxnSpPr>
      <xdr:spPr>
        <a:xfrm flipV="1">
          <a:off x="3557397" y="1899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11</xdr:row>
      <xdr:rowOff>185420</xdr:rowOff>
    </xdr:from>
    <xdr:to>
      <xdr:col>3</xdr:col>
      <xdr:colOff>127</xdr:colOff>
      <xdr:row>11</xdr:row>
      <xdr:rowOff>185420</xdr:rowOff>
    </xdr:to>
    <xdr:cxnSp macro="_xll.PtreeEvent_ObjectClick">
      <xdr:nvCxnSpPr>
        <xdr:cNvPr id="132" name="PTObj_DBranchHLine_2_6">
          <a:extLst>
            <a:ext uri="{FF2B5EF4-FFF2-40B4-BE49-F238E27FC236}">
              <a16:creationId xmlns:a16="http://schemas.microsoft.com/office/drawing/2014/main" id="{F93D00B3-A818-4043-9234-249F56D0256B}"/>
            </a:ext>
          </a:extLst>
        </xdr:cNvPr>
        <xdr:cNvCxnSpPr/>
      </xdr:nvCxnSpPr>
      <xdr:spPr>
        <a:xfrm>
          <a:off x="2566797" y="2280920"/>
          <a:ext cx="8813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7</xdr:row>
      <xdr:rowOff>180340</xdr:rowOff>
    </xdr:from>
    <xdr:to>
      <xdr:col>2</xdr:col>
      <xdr:colOff>242697</xdr:colOff>
      <xdr:row>11</xdr:row>
      <xdr:rowOff>185420</xdr:rowOff>
    </xdr:to>
    <xdr:cxnSp macro="_xll.PtreeEvent_ObjectClick">
      <xdr:nvCxnSpPr>
        <xdr:cNvPr id="131" name="PTObj_DBranchDLine_2_6">
          <a:extLst>
            <a:ext uri="{FF2B5EF4-FFF2-40B4-BE49-F238E27FC236}">
              <a16:creationId xmlns:a16="http://schemas.microsoft.com/office/drawing/2014/main" id="{E7BA2577-80E6-4CD8-B1AB-71C22E1C7C4F}"/>
            </a:ext>
          </a:extLst>
        </xdr:cNvPr>
        <xdr:cNvCxnSpPr/>
      </xdr:nvCxnSpPr>
      <xdr:spPr>
        <a:xfrm>
          <a:off x="2414397" y="1513840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5</xdr:row>
      <xdr:rowOff>185420</xdr:rowOff>
    </xdr:from>
    <xdr:to>
      <xdr:col>4</xdr:col>
      <xdr:colOff>127</xdr:colOff>
      <xdr:row>5</xdr:row>
      <xdr:rowOff>185420</xdr:rowOff>
    </xdr:to>
    <xdr:cxnSp macro="_xll.PtreeEvent_ObjectClick">
      <xdr:nvCxnSpPr>
        <xdr:cNvPr id="128" name="PTObj_DBranchHLine_2_5">
          <a:extLst>
            <a:ext uri="{FF2B5EF4-FFF2-40B4-BE49-F238E27FC236}">
              <a16:creationId xmlns:a16="http://schemas.microsoft.com/office/drawing/2014/main" id="{BAB1C956-F2D2-4FE2-AA00-D3DC4868F20D}"/>
            </a:ext>
          </a:extLst>
        </xdr:cNvPr>
        <xdr:cNvCxnSpPr/>
      </xdr:nvCxnSpPr>
      <xdr:spPr>
        <a:xfrm>
          <a:off x="3690747" y="1137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3</xdr:row>
      <xdr:rowOff>180340</xdr:rowOff>
    </xdr:from>
    <xdr:to>
      <xdr:col>3</xdr:col>
      <xdr:colOff>242697</xdr:colOff>
      <xdr:row>5</xdr:row>
      <xdr:rowOff>185420</xdr:rowOff>
    </xdr:to>
    <xdr:cxnSp macro="_xll.PtreeEvent_ObjectClick">
      <xdr:nvCxnSpPr>
        <xdr:cNvPr id="127" name="PTObj_DBranchDLine_2_5">
          <a:extLst>
            <a:ext uri="{FF2B5EF4-FFF2-40B4-BE49-F238E27FC236}">
              <a16:creationId xmlns:a16="http://schemas.microsoft.com/office/drawing/2014/main" id="{3B8C4F74-5FA0-4B2C-9F83-7594B70D2D01}"/>
            </a:ext>
          </a:extLst>
        </xdr:cNvPr>
        <xdr:cNvCxnSpPr/>
      </xdr:nvCxnSpPr>
      <xdr:spPr>
        <a:xfrm>
          <a:off x="3538347" y="751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1</xdr:row>
      <xdr:rowOff>185420</xdr:rowOff>
    </xdr:from>
    <xdr:to>
      <xdr:col>4</xdr:col>
      <xdr:colOff>127</xdr:colOff>
      <xdr:row>1</xdr:row>
      <xdr:rowOff>185420</xdr:rowOff>
    </xdr:to>
    <xdr:cxnSp macro="_xll.PtreeEvent_ObjectClick">
      <xdr:nvCxnSpPr>
        <xdr:cNvPr id="124" name="PTObj_DBranchHLine_2_4">
          <a:extLst>
            <a:ext uri="{FF2B5EF4-FFF2-40B4-BE49-F238E27FC236}">
              <a16:creationId xmlns:a16="http://schemas.microsoft.com/office/drawing/2014/main" id="{D952641C-440D-4F75-998C-552DC6A55448}"/>
            </a:ext>
          </a:extLst>
        </xdr:cNvPr>
        <xdr:cNvCxnSpPr/>
      </xdr:nvCxnSpPr>
      <xdr:spPr>
        <a:xfrm>
          <a:off x="3690747" y="375920"/>
          <a:ext cx="104330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1</xdr:row>
      <xdr:rowOff>185420</xdr:rowOff>
    </xdr:from>
    <xdr:to>
      <xdr:col>3</xdr:col>
      <xdr:colOff>242697</xdr:colOff>
      <xdr:row>3</xdr:row>
      <xdr:rowOff>180340</xdr:rowOff>
    </xdr:to>
    <xdr:cxnSp macro="_xll.PtreeEvent_ObjectClick">
      <xdr:nvCxnSpPr>
        <xdr:cNvPr id="123" name="PTObj_DBranchDLine_2_4">
          <a:extLst>
            <a:ext uri="{FF2B5EF4-FFF2-40B4-BE49-F238E27FC236}">
              <a16:creationId xmlns:a16="http://schemas.microsoft.com/office/drawing/2014/main" id="{E95C3204-A0EA-4EB2-AAB0-DB7BD9B26B14}"/>
            </a:ext>
          </a:extLst>
        </xdr:cNvPr>
        <xdr:cNvCxnSpPr/>
      </xdr:nvCxnSpPr>
      <xdr:spPr>
        <a:xfrm flipV="1">
          <a:off x="3538347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3</xdr:row>
      <xdr:rowOff>185420</xdr:rowOff>
    </xdr:from>
    <xdr:to>
      <xdr:col>3</xdr:col>
      <xdr:colOff>127</xdr:colOff>
      <xdr:row>3</xdr:row>
      <xdr:rowOff>185420</xdr:rowOff>
    </xdr:to>
    <xdr:cxnSp macro="_xll.PtreeEvent_ObjectClick">
      <xdr:nvCxnSpPr>
        <xdr:cNvPr id="120" name="PTObj_DBranchHLine_2_3">
          <a:extLst>
            <a:ext uri="{FF2B5EF4-FFF2-40B4-BE49-F238E27FC236}">
              <a16:creationId xmlns:a16="http://schemas.microsoft.com/office/drawing/2014/main" id="{B5C677EC-4DBA-4B59-977B-6541DFCC1CC5}"/>
            </a:ext>
          </a:extLst>
        </xdr:cNvPr>
        <xdr:cNvCxnSpPr/>
      </xdr:nvCxnSpPr>
      <xdr:spPr>
        <a:xfrm>
          <a:off x="2566797" y="756920"/>
          <a:ext cx="8813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3</xdr:row>
      <xdr:rowOff>185420</xdr:rowOff>
    </xdr:from>
    <xdr:to>
      <xdr:col>2</xdr:col>
      <xdr:colOff>242697</xdr:colOff>
      <xdr:row>7</xdr:row>
      <xdr:rowOff>180340</xdr:rowOff>
    </xdr:to>
    <xdr:cxnSp macro="_xll.PtreeEvent_ObjectClick">
      <xdr:nvCxnSpPr>
        <xdr:cNvPr id="119" name="PTObj_DBranchDLine_2_3">
          <a:extLst>
            <a:ext uri="{FF2B5EF4-FFF2-40B4-BE49-F238E27FC236}">
              <a16:creationId xmlns:a16="http://schemas.microsoft.com/office/drawing/2014/main" id="{68F885F1-BB76-405F-A8C6-4AA5F2D22982}"/>
            </a:ext>
          </a:extLst>
        </xdr:cNvPr>
        <xdr:cNvCxnSpPr/>
      </xdr:nvCxnSpPr>
      <xdr:spPr>
        <a:xfrm flipV="1">
          <a:off x="2414397" y="756920"/>
          <a:ext cx="152400" cy="756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242697</xdr:colOff>
      <xdr:row>7</xdr:row>
      <xdr:rowOff>185420</xdr:rowOff>
    </xdr:from>
    <xdr:to>
      <xdr:col>2</xdr:col>
      <xdr:colOff>127</xdr:colOff>
      <xdr:row>7</xdr:row>
      <xdr:rowOff>185420</xdr:rowOff>
    </xdr:to>
    <xdr:cxnSp macro="_xll.PtreeEvent_ObjectClick">
      <xdr:nvCxnSpPr>
        <xdr:cNvPr id="116" name="PTObj_DBranchHLine_2_2">
          <a:extLst>
            <a:ext uri="{FF2B5EF4-FFF2-40B4-BE49-F238E27FC236}">
              <a16:creationId xmlns:a16="http://schemas.microsoft.com/office/drawing/2014/main" id="{01A7304B-F933-4323-A923-5B9EFD01200E}"/>
            </a:ext>
          </a:extLst>
        </xdr:cNvPr>
        <xdr:cNvCxnSpPr/>
      </xdr:nvCxnSpPr>
      <xdr:spPr>
        <a:xfrm>
          <a:off x="1442847" y="1518920"/>
          <a:ext cx="8813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90297</xdr:colOff>
      <xdr:row>7</xdr:row>
      <xdr:rowOff>185420</xdr:rowOff>
    </xdr:from>
    <xdr:to>
      <xdr:col>1</xdr:col>
      <xdr:colOff>242697</xdr:colOff>
      <xdr:row>15</xdr:row>
      <xdr:rowOff>180340</xdr:rowOff>
    </xdr:to>
    <xdr:cxnSp macro="_xll.PtreeEvent_ObjectClick">
      <xdr:nvCxnSpPr>
        <xdr:cNvPr id="115" name="PTObj_DBranchDLine_2_2">
          <a:extLst>
            <a:ext uri="{FF2B5EF4-FFF2-40B4-BE49-F238E27FC236}">
              <a16:creationId xmlns:a16="http://schemas.microsoft.com/office/drawing/2014/main" id="{9333263D-0DB5-46E8-854D-2FA0CA8B15E4}"/>
            </a:ext>
          </a:extLst>
        </xdr:cNvPr>
        <xdr:cNvCxnSpPr/>
      </xdr:nvCxnSpPr>
      <xdr:spPr>
        <a:xfrm flipV="1">
          <a:off x="1290447" y="1518920"/>
          <a:ext cx="152400" cy="1518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177800</xdr:colOff>
      <xdr:row>15</xdr:row>
      <xdr:rowOff>185420</xdr:rowOff>
    </xdr:from>
    <xdr:to>
      <xdr:col>1</xdr:col>
      <xdr:colOff>127</xdr:colOff>
      <xdr:row>15</xdr:row>
      <xdr:rowOff>185420</xdr:rowOff>
    </xdr:to>
    <xdr:cxnSp macro="_xll.PtreeEvent_ObjectClick">
      <xdr:nvCxnSpPr>
        <xdr:cNvPr id="112" name="PTObj_DBranchHLine_2_1">
          <a:extLst>
            <a:ext uri="{FF2B5EF4-FFF2-40B4-BE49-F238E27FC236}">
              <a16:creationId xmlns:a16="http://schemas.microsoft.com/office/drawing/2014/main" id="{24B14F5A-6D7F-4F88-9DB7-84413D6B206B}"/>
            </a:ext>
          </a:extLst>
        </xdr:cNvPr>
        <xdr:cNvCxnSpPr/>
      </xdr:nvCxnSpPr>
      <xdr:spPr>
        <a:xfrm>
          <a:off x="177800" y="3042920"/>
          <a:ext cx="1022477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93</xdr:row>
      <xdr:rowOff>185420</xdr:rowOff>
    </xdr:from>
    <xdr:to>
      <xdr:col>5</xdr:col>
      <xdr:colOff>127</xdr:colOff>
      <xdr:row>93</xdr:row>
      <xdr:rowOff>185420</xdr:rowOff>
    </xdr:to>
    <xdr:cxnSp macro="_xll.PtreeEvent_ObjectClick">
      <xdr:nvCxnSpPr>
        <xdr:cNvPr id="103" name="PTObj_DBranchHLine_1_19">
          <a:extLst>
            <a:ext uri="{FF2B5EF4-FFF2-40B4-BE49-F238E27FC236}">
              <a16:creationId xmlns:a16="http://schemas.microsoft.com/office/drawing/2014/main" id="{54A199AF-ED0B-4AE2-B874-C3CE8CFBDC20}"/>
            </a:ext>
          </a:extLst>
        </xdr:cNvPr>
        <xdr:cNvCxnSpPr/>
      </xdr:nvCxnSpPr>
      <xdr:spPr>
        <a:xfrm>
          <a:off x="4271772" y="5709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91</xdr:row>
      <xdr:rowOff>180340</xdr:rowOff>
    </xdr:from>
    <xdr:to>
      <xdr:col>4</xdr:col>
      <xdr:colOff>242697</xdr:colOff>
      <xdr:row>93</xdr:row>
      <xdr:rowOff>185420</xdr:rowOff>
    </xdr:to>
    <xdr:cxnSp macro="_xll.PtreeEvent_ObjectClick">
      <xdr:nvCxnSpPr>
        <xdr:cNvPr id="102" name="PTObj_DBranchDLine_1_19">
          <a:extLst>
            <a:ext uri="{FF2B5EF4-FFF2-40B4-BE49-F238E27FC236}">
              <a16:creationId xmlns:a16="http://schemas.microsoft.com/office/drawing/2014/main" id="{996B2A74-EDA5-49B0-841D-69BD1B8EA191}"/>
            </a:ext>
          </a:extLst>
        </xdr:cNvPr>
        <xdr:cNvCxnSpPr/>
      </xdr:nvCxnSpPr>
      <xdr:spPr>
        <a:xfrm>
          <a:off x="4119372" y="5323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89</xdr:row>
      <xdr:rowOff>185420</xdr:rowOff>
    </xdr:from>
    <xdr:to>
      <xdr:col>5</xdr:col>
      <xdr:colOff>127</xdr:colOff>
      <xdr:row>89</xdr:row>
      <xdr:rowOff>185420</xdr:rowOff>
    </xdr:to>
    <xdr:cxnSp macro="_xll.PtreeEvent_ObjectClick">
      <xdr:nvCxnSpPr>
        <xdr:cNvPr id="99" name="PTObj_DBranchHLine_1_18">
          <a:extLst>
            <a:ext uri="{FF2B5EF4-FFF2-40B4-BE49-F238E27FC236}">
              <a16:creationId xmlns:a16="http://schemas.microsoft.com/office/drawing/2014/main" id="{540F2842-CF48-48D5-9850-EA6A9384F333}"/>
            </a:ext>
          </a:extLst>
        </xdr:cNvPr>
        <xdr:cNvCxnSpPr/>
      </xdr:nvCxnSpPr>
      <xdr:spPr>
        <a:xfrm>
          <a:off x="4271772" y="4947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89</xdr:row>
      <xdr:rowOff>185420</xdr:rowOff>
    </xdr:from>
    <xdr:to>
      <xdr:col>4</xdr:col>
      <xdr:colOff>242697</xdr:colOff>
      <xdr:row>91</xdr:row>
      <xdr:rowOff>180340</xdr:rowOff>
    </xdr:to>
    <xdr:cxnSp macro="_xll.PtreeEvent_ObjectClick">
      <xdr:nvCxnSpPr>
        <xdr:cNvPr id="98" name="PTObj_DBranchDLine_1_18">
          <a:extLst>
            <a:ext uri="{FF2B5EF4-FFF2-40B4-BE49-F238E27FC236}">
              <a16:creationId xmlns:a16="http://schemas.microsoft.com/office/drawing/2014/main" id="{37AC45C3-6C9F-47D9-AA86-A0B45A23161D}"/>
            </a:ext>
          </a:extLst>
        </xdr:cNvPr>
        <xdr:cNvCxnSpPr/>
      </xdr:nvCxnSpPr>
      <xdr:spPr>
        <a:xfrm flipV="1">
          <a:off x="4119372" y="4947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91</xdr:row>
      <xdr:rowOff>185420</xdr:rowOff>
    </xdr:from>
    <xdr:to>
      <xdr:col>4</xdr:col>
      <xdr:colOff>127</xdr:colOff>
      <xdr:row>91</xdr:row>
      <xdr:rowOff>185420</xdr:rowOff>
    </xdr:to>
    <xdr:cxnSp macro="_xll.PtreeEvent_ObjectClick">
      <xdr:nvCxnSpPr>
        <xdr:cNvPr id="95" name="PTObj_DBranchHLine_1_9">
          <a:extLst>
            <a:ext uri="{FF2B5EF4-FFF2-40B4-BE49-F238E27FC236}">
              <a16:creationId xmlns:a16="http://schemas.microsoft.com/office/drawing/2014/main" id="{9978EF67-1909-4D03-89D4-84C23C34B1DA}"/>
            </a:ext>
          </a:extLst>
        </xdr:cNvPr>
        <xdr:cNvCxnSpPr/>
      </xdr:nvCxnSpPr>
      <xdr:spPr>
        <a:xfrm>
          <a:off x="3128772" y="5328920"/>
          <a:ext cx="9004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87</xdr:row>
      <xdr:rowOff>180340</xdr:rowOff>
    </xdr:from>
    <xdr:to>
      <xdr:col>3</xdr:col>
      <xdr:colOff>242697</xdr:colOff>
      <xdr:row>91</xdr:row>
      <xdr:rowOff>185420</xdr:rowOff>
    </xdr:to>
    <xdr:cxnSp macro="_xll.PtreeEvent_ObjectClick">
      <xdr:nvCxnSpPr>
        <xdr:cNvPr id="94" name="PTObj_DBranchDLine_1_9">
          <a:extLst>
            <a:ext uri="{FF2B5EF4-FFF2-40B4-BE49-F238E27FC236}">
              <a16:creationId xmlns:a16="http://schemas.microsoft.com/office/drawing/2014/main" id="{FECF2DBC-4FD4-4852-A028-D332F152435B}"/>
            </a:ext>
          </a:extLst>
        </xdr:cNvPr>
        <xdr:cNvCxnSpPr/>
      </xdr:nvCxnSpPr>
      <xdr:spPr>
        <a:xfrm>
          <a:off x="2976372" y="4561840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85</xdr:row>
      <xdr:rowOff>185420</xdr:rowOff>
    </xdr:from>
    <xdr:to>
      <xdr:col>5</xdr:col>
      <xdr:colOff>127</xdr:colOff>
      <xdr:row>85</xdr:row>
      <xdr:rowOff>185420</xdr:rowOff>
    </xdr:to>
    <xdr:cxnSp macro="_xll.PtreeEvent_ObjectClick">
      <xdr:nvCxnSpPr>
        <xdr:cNvPr id="87" name="PTObj_DBranchHLine_1_17">
          <a:extLst>
            <a:ext uri="{FF2B5EF4-FFF2-40B4-BE49-F238E27FC236}">
              <a16:creationId xmlns:a16="http://schemas.microsoft.com/office/drawing/2014/main" id="{37D1A054-E3ED-477B-9072-4B5693909618}"/>
            </a:ext>
          </a:extLst>
        </xdr:cNvPr>
        <xdr:cNvCxnSpPr/>
      </xdr:nvCxnSpPr>
      <xdr:spPr>
        <a:xfrm>
          <a:off x="4271772" y="4185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83</xdr:row>
      <xdr:rowOff>180340</xdr:rowOff>
    </xdr:from>
    <xdr:to>
      <xdr:col>4</xdr:col>
      <xdr:colOff>242697</xdr:colOff>
      <xdr:row>85</xdr:row>
      <xdr:rowOff>185420</xdr:rowOff>
    </xdr:to>
    <xdr:cxnSp macro="_xll.PtreeEvent_ObjectClick">
      <xdr:nvCxnSpPr>
        <xdr:cNvPr id="86" name="PTObj_DBranchDLine_1_17">
          <a:extLst>
            <a:ext uri="{FF2B5EF4-FFF2-40B4-BE49-F238E27FC236}">
              <a16:creationId xmlns:a16="http://schemas.microsoft.com/office/drawing/2014/main" id="{1D01C56B-CE33-4AE5-9DD0-D8914B5C0AF7}"/>
            </a:ext>
          </a:extLst>
        </xdr:cNvPr>
        <xdr:cNvCxnSpPr/>
      </xdr:nvCxnSpPr>
      <xdr:spPr>
        <a:xfrm>
          <a:off x="4119372" y="3799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81</xdr:row>
      <xdr:rowOff>185420</xdr:rowOff>
    </xdr:from>
    <xdr:to>
      <xdr:col>5</xdr:col>
      <xdr:colOff>127</xdr:colOff>
      <xdr:row>81</xdr:row>
      <xdr:rowOff>185420</xdr:rowOff>
    </xdr:to>
    <xdr:cxnSp macro="_xll.PtreeEvent_ObjectClick">
      <xdr:nvCxnSpPr>
        <xdr:cNvPr id="83" name="PTObj_DBranchHLine_1_16">
          <a:extLst>
            <a:ext uri="{FF2B5EF4-FFF2-40B4-BE49-F238E27FC236}">
              <a16:creationId xmlns:a16="http://schemas.microsoft.com/office/drawing/2014/main" id="{AB36172D-B576-437D-B7DB-4B707FE2432D}"/>
            </a:ext>
          </a:extLst>
        </xdr:cNvPr>
        <xdr:cNvCxnSpPr/>
      </xdr:nvCxnSpPr>
      <xdr:spPr>
        <a:xfrm>
          <a:off x="4271772" y="3423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81</xdr:row>
      <xdr:rowOff>185420</xdr:rowOff>
    </xdr:from>
    <xdr:to>
      <xdr:col>4</xdr:col>
      <xdr:colOff>242697</xdr:colOff>
      <xdr:row>83</xdr:row>
      <xdr:rowOff>180340</xdr:rowOff>
    </xdr:to>
    <xdr:cxnSp macro="_xll.PtreeEvent_ObjectClick">
      <xdr:nvCxnSpPr>
        <xdr:cNvPr id="82" name="PTObj_DBranchDLine_1_16">
          <a:extLst>
            <a:ext uri="{FF2B5EF4-FFF2-40B4-BE49-F238E27FC236}">
              <a16:creationId xmlns:a16="http://schemas.microsoft.com/office/drawing/2014/main" id="{C9328DFB-A8B9-487F-851F-E948D4FC9FA2}"/>
            </a:ext>
          </a:extLst>
        </xdr:cNvPr>
        <xdr:cNvCxnSpPr/>
      </xdr:nvCxnSpPr>
      <xdr:spPr>
        <a:xfrm flipV="1">
          <a:off x="4119372" y="3423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83</xdr:row>
      <xdr:rowOff>185420</xdr:rowOff>
    </xdr:from>
    <xdr:to>
      <xdr:col>4</xdr:col>
      <xdr:colOff>127</xdr:colOff>
      <xdr:row>83</xdr:row>
      <xdr:rowOff>185420</xdr:rowOff>
    </xdr:to>
    <xdr:cxnSp macro="_xll.PtreeEvent_ObjectClick">
      <xdr:nvCxnSpPr>
        <xdr:cNvPr id="79" name="PTObj_DBranchHLine_1_8">
          <a:extLst>
            <a:ext uri="{FF2B5EF4-FFF2-40B4-BE49-F238E27FC236}">
              <a16:creationId xmlns:a16="http://schemas.microsoft.com/office/drawing/2014/main" id="{DADE2C71-15CE-48FF-94F2-21C533F9AF30}"/>
            </a:ext>
          </a:extLst>
        </xdr:cNvPr>
        <xdr:cNvCxnSpPr/>
      </xdr:nvCxnSpPr>
      <xdr:spPr>
        <a:xfrm>
          <a:off x="3128772" y="3804920"/>
          <a:ext cx="9004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83</xdr:row>
      <xdr:rowOff>185420</xdr:rowOff>
    </xdr:from>
    <xdr:to>
      <xdr:col>3</xdr:col>
      <xdr:colOff>242697</xdr:colOff>
      <xdr:row>87</xdr:row>
      <xdr:rowOff>180340</xdr:rowOff>
    </xdr:to>
    <xdr:cxnSp macro="_xll.PtreeEvent_ObjectClick">
      <xdr:nvCxnSpPr>
        <xdr:cNvPr id="78" name="PTObj_DBranchDLine_1_8">
          <a:extLst>
            <a:ext uri="{FF2B5EF4-FFF2-40B4-BE49-F238E27FC236}">
              <a16:creationId xmlns:a16="http://schemas.microsoft.com/office/drawing/2014/main" id="{C4901931-0C4C-4E2D-A97B-0C6ADFB935EF}"/>
            </a:ext>
          </a:extLst>
        </xdr:cNvPr>
        <xdr:cNvCxnSpPr/>
      </xdr:nvCxnSpPr>
      <xdr:spPr>
        <a:xfrm flipV="1">
          <a:off x="2976372" y="3804920"/>
          <a:ext cx="152400" cy="756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77</xdr:row>
      <xdr:rowOff>185420</xdr:rowOff>
    </xdr:from>
    <xdr:to>
      <xdr:col>5</xdr:col>
      <xdr:colOff>127</xdr:colOff>
      <xdr:row>77</xdr:row>
      <xdr:rowOff>185420</xdr:rowOff>
    </xdr:to>
    <xdr:cxnSp macro="_xll.PtreeEvent_ObjectClick">
      <xdr:nvCxnSpPr>
        <xdr:cNvPr id="71" name="PTObj_DBranchHLine_1_15">
          <a:extLst>
            <a:ext uri="{FF2B5EF4-FFF2-40B4-BE49-F238E27FC236}">
              <a16:creationId xmlns:a16="http://schemas.microsoft.com/office/drawing/2014/main" id="{A0F8E2CD-134D-43A8-A210-A9209B85531E}"/>
            </a:ext>
          </a:extLst>
        </xdr:cNvPr>
        <xdr:cNvCxnSpPr/>
      </xdr:nvCxnSpPr>
      <xdr:spPr>
        <a:xfrm>
          <a:off x="4271772" y="2661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75</xdr:row>
      <xdr:rowOff>180340</xdr:rowOff>
    </xdr:from>
    <xdr:to>
      <xdr:col>4</xdr:col>
      <xdr:colOff>242697</xdr:colOff>
      <xdr:row>77</xdr:row>
      <xdr:rowOff>185420</xdr:rowOff>
    </xdr:to>
    <xdr:cxnSp macro="_xll.PtreeEvent_ObjectClick">
      <xdr:nvCxnSpPr>
        <xdr:cNvPr id="70" name="PTObj_DBranchDLine_1_15">
          <a:extLst>
            <a:ext uri="{FF2B5EF4-FFF2-40B4-BE49-F238E27FC236}">
              <a16:creationId xmlns:a16="http://schemas.microsoft.com/office/drawing/2014/main" id="{A402BC6A-D94B-4812-9C20-B414FD8BCD3F}"/>
            </a:ext>
          </a:extLst>
        </xdr:cNvPr>
        <xdr:cNvCxnSpPr/>
      </xdr:nvCxnSpPr>
      <xdr:spPr>
        <a:xfrm>
          <a:off x="4119372" y="2275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73</xdr:row>
      <xdr:rowOff>185420</xdr:rowOff>
    </xdr:from>
    <xdr:to>
      <xdr:col>5</xdr:col>
      <xdr:colOff>127</xdr:colOff>
      <xdr:row>73</xdr:row>
      <xdr:rowOff>185420</xdr:rowOff>
    </xdr:to>
    <xdr:cxnSp macro="_xll.PtreeEvent_ObjectClick">
      <xdr:nvCxnSpPr>
        <xdr:cNvPr id="43" name="PTObj_DBranchHLine_1_14">
          <a:extLst>
            <a:ext uri="{FF2B5EF4-FFF2-40B4-BE49-F238E27FC236}">
              <a16:creationId xmlns:a16="http://schemas.microsoft.com/office/drawing/2014/main" id="{697BBE6A-C893-4C71-91BA-42034D65E561}"/>
            </a:ext>
          </a:extLst>
        </xdr:cNvPr>
        <xdr:cNvCxnSpPr/>
      </xdr:nvCxnSpPr>
      <xdr:spPr>
        <a:xfrm>
          <a:off x="4271772" y="1899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73</xdr:row>
      <xdr:rowOff>185420</xdr:rowOff>
    </xdr:from>
    <xdr:to>
      <xdr:col>4</xdr:col>
      <xdr:colOff>242697</xdr:colOff>
      <xdr:row>75</xdr:row>
      <xdr:rowOff>180340</xdr:rowOff>
    </xdr:to>
    <xdr:cxnSp macro="_xll.PtreeEvent_ObjectClick">
      <xdr:nvCxnSpPr>
        <xdr:cNvPr id="42" name="PTObj_DBranchDLine_1_14">
          <a:extLst>
            <a:ext uri="{FF2B5EF4-FFF2-40B4-BE49-F238E27FC236}">
              <a16:creationId xmlns:a16="http://schemas.microsoft.com/office/drawing/2014/main" id="{E2CA5DEE-0EE4-457B-9E7A-CE4D72949D25}"/>
            </a:ext>
          </a:extLst>
        </xdr:cNvPr>
        <xdr:cNvCxnSpPr/>
      </xdr:nvCxnSpPr>
      <xdr:spPr>
        <a:xfrm flipV="1">
          <a:off x="4119372" y="1899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75</xdr:row>
      <xdr:rowOff>185420</xdr:rowOff>
    </xdr:from>
    <xdr:to>
      <xdr:col>4</xdr:col>
      <xdr:colOff>127</xdr:colOff>
      <xdr:row>75</xdr:row>
      <xdr:rowOff>185420</xdr:rowOff>
    </xdr:to>
    <xdr:cxnSp macro="_xll.PtreeEvent_ObjectClick">
      <xdr:nvCxnSpPr>
        <xdr:cNvPr id="27" name="PTObj_DBranchHLine_1_7">
          <a:extLst>
            <a:ext uri="{FF2B5EF4-FFF2-40B4-BE49-F238E27FC236}">
              <a16:creationId xmlns:a16="http://schemas.microsoft.com/office/drawing/2014/main" id="{69A43B42-F1E8-4787-A4F5-27171ACC450A}"/>
            </a:ext>
          </a:extLst>
        </xdr:cNvPr>
        <xdr:cNvCxnSpPr/>
      </xdr:nvCxnSpPr>
      <xdr:spPr>
        <a:xfrm>
          <a:off x="3128772" y="2280920"/>
          <a:ext cx="9004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71</xdr:row>
      <xdr:rowOff>180340</xdr:rowOff>
    </xdr:from>
    <xdr:to>
      <xdr:col>3</xdr:col>
      <xdr:colOff>242697</xdr:colOff>
      <xdr:row>75</xdr:row>
      <xdr:rowOff>185420</xdr:rowOff>
    </xdr:to>
    <xdr:cxnSp macro="_xll.PtreeEvent_ObjectClick">
      <xdr:nvCxnSpPr>
        <xdr:cNvPr id="26" name="PTObj_DBranchDLine_1_7">
          <a:extLst>
            <a:ext uri="{FF2B5EF4-FFF2-40B4-BE49-F238E27FC236}">
              <a16:creationId xmlns:a16="http://schemas.microsoft.com/office/drawing/2014/main" id="{DF8AF698-EDDA-4689-9BB7-868CF86751B4}"/>
            </a:ext>
          </a:extLst>
        </xdr:cNvPr>
        <xdr:cNvCxnSpPr/>
      </xdr:nvCxnSpPr>
      <xdr:spPr>
        <a:xfrm>
          <a:off x="2976372" y="1513840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69</xdr:row>
      <xdr:rowOff>185420</xdr:rowOff>
    </xdr:from>
    <xdr:to>
      <xdr:col>5</xdr:col>
      <xdr:colOff>127</xdr:colOff>
      <xdr:row>69</xdr:row>
      <xdr:rowOff>185420</xdr:rowOff>
    </xdr:to>
    <xdr:cxnSp macro="_xll.PtreeEvent_ObjectClick">
      <xdr:nvCxnSpPr>
        <xdr:cNvPr id="15" name="PTObj_DBranchHLine_1_13">
          <a:extLst>
            <a:ext uri="{FF2B5EF4-FFF2-40B4-BE49-F238E27FC236}">
              <a16:creationId xmlns:a16="http://schemas.microsoft.com/office/drawing/2014/main" id="{28BD2C69-A3C6-4399-A5C1-B1C570BF3DE7}"/>
            </a:ext>
          </a:extLst>
        </xdr:cNvPr>
        <xdr:cNvCxnSpPr/>
      </xdr:nvCxnSpPr>
      <xdr:spPr>
        <a:xfrm>
          <a:off x="4233672" y="1137920"/>
          <a:ext cx="11480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67</xdr:row>
      <xdr:rowOff>180340</xdr:rowOff>
    </xdr:from>
    <xdr:to>
      <xdr:col>4</xdr:col>
      <xdr:colOff>242697</xdr:colOff>
      <xdr:row>69</xdr:row>
      <xdr:rowOff>185420</xdr:rowOff>
    </xdr:to>
    <xdr:cxnSp macro="_xll.PtreeEvent_ObjectClick">
      <xdr:nvCxnSpPr>
        <xdr:cNvPr id="14" name="PTObj_DBranchDLine_1_13">
          <a:extLst>
            <a:ext uri="{FF2B5EF4-FFF2-40B4-BE49-F238E27FC236}">
              <a16:creationId xmlns:a16="http://schemas.microsoft.com/office/drawing/2014/main" id="{7C036EA1-C70F-4F8E-8ABE-2A77DC413F1A}"/>
            </a:ext>
          </a:extLst>
        </xdr:cNvPr>
        <xdr:cNvCxnSpPr/>
      </xdr:nvCxnSpPr>
      <xdr:spPr>
        <a:xfrm>
          <a:off x="4081272" y="751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242697</xdr:colOff>
      <xdr:row>65</xdr:row>
      <xdr:rowOff>185420</xdr:rowOff>
    </xdr:from>
    <xdr:to>
      <xdr:col>5</xdr:col>
      <xdr:colOff>127</xdr:colOff>
      <xdr:row>65</xdr:row>
      <xdr:rowOff>185420</xdr:rowOff>
    </xdr:to>
    <xdr:cxnSp macro="_xll.PtreeEvent_ObjectClick">
      <xdr:nvCxnSpPr>
        <xdr:cNvPr id="11" name="PTObj_DBranchHLine_1_12">
          <a:extLst>
            <a:ext uri="{FF2B5EF4-FFF2-40B4-BE49-F238E27FC236}">
              <a16:creationId xmlns:a16="http://schemas.microsoft.com/office/drawing/2014/main" id="{03593232-FF78-4715-BD03-35FA9170E38F}"/>
            </a:ext>
          </a:extLst>
        </xdr:cNvPr>
        <xdr:cNvCxnSpPr/>
      </xdr:nvCxnSpPr>
      <xdr:spPr>
        <a:xfrm>
          <a:off x="4233672" y="375920"/>
          <a:ext cx="8718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90297</xdr:colOff>
      <xdr:row>65</xdr:row>
      <xdr:rowOff>185420</xdr:rowOff>
    </xdr:from>
    <xdr:to>
      <xdr:col>4</xdr:col>
      <xdr:colOff>242697</xdr:colOff>
      <xdr:row>67</xdr:row>
      <xdr:rowOff>180340</xdr:rowOff>
    </xdr:to>
    <xdr:cxnSp macro="_xll.PtreeEvent_ObjectClick">
      <xdr:nvCxnSpPr>
        <xdr:cNvPr id="10" name="PTObj_DBranchDLine_1_12">
          <a:extLst>
            <a:ext uri="{FF2B5EF4-FFF2-40B4-BE49-F238E27FC236}">
              <a16:creationId xmlns:a16="http://schemas.microsoft.com/office/drawing/2014/main" id="{4A00E835-1D84-4153-B318-DB1A99D8B018}"/>
            </a:ext>
          </a:extLst>
        </xdr:cNvPr>
        <xdr:cNvCxnSpPr/>
      </xdr:nvCxnSpPr>
      <xdr:spPr>
        <a:xfrm flipV="1">
          <a:off x="4081272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242697</xdr:colOff>
      <xdr:row>67</xdr:row>
      <xdr:rowOff>185420</xdr:rowOff>
    </xdr:from>
    <xdr:to>
      <xdr:col>4</xdr:col>
      <xdr:colOff>127</xdr:colOff>
      <xdr:row>67</xdr:row>
      <xdr:rowOff>185420</xdr:rowOff>
    </xdr:to>
    <xdr:cxnSp macro="_xll.PtreeEvent_ObjectClick">
      <xdr:nvCxnSpPr>
        <xdr:cNvPr id="4" name="PTObj_DBranchHLine_1_6">
          <a:extLst>
            <a:ext uri="{FF2B5EF4-FFF2-40B4-BE49-F238E27FC236}">
              <a16:creationId xmlns:a16="http://schemas.microsoft.com/office/drawing/2014/main" id="{2024DA10-ED19-4506-8360-2FEBC54990B1}"/>
            </a:ext>
          </a:extLst>
        </xdr:cNvPr>
        <xdr:cNvCxnSpPr/>
      </xdr:nvCxnSpPr>
      <xdr:spPr>
        <a:xfrm>
          <a:off x="3128772" y="375920"/>
          <a:ext cx="8432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90297</xdr:colOff>
      <xdr:row>67</xdr:row>
      <xdr:rowOff>185420</xdr:rowOff>
    </xdr:from>
    <xdr:to>
      <xdr:col>3</xdr:col>
      <xdr:colOff>242697</xdr:colOff>
      <xdr:row>71</xdr:row>
      <xdr:rowOff>180340</xdr:rowOff>
    </xdr:to>
    <xdr:cxnSp macro="_xll.PtreeEvent_ObjectClick">
      <xdr:nvCxnSpPr>
        <xdr:cNvPr id="3" name="PTObj_DBranchDLine_1_6">
          <a:extLst>
            <a:ext uri="{FF2B5EF4-FFF2-40B4-BE49-F238E27FC236}">
              <a16:creationId xmlns:a16="http://schemas.microsoft.com/office/drawing/2014/main" id="{BB33F932-0C34-464B-A608-7E40923E3266}"/>
            </a:ext>
          </a:extLst>
        </xdr:cNvPr>
        <xdr:cNvCxnSpPr/>
      </xdr:nvCxnSpPr>
      <xdr:spPr>
        <a:xfrm flipV="1">
          <a:off x="2976372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101</xdr:row>
      <xdr:rowOff>185420</xdr:rowOff>
    </xdr:from>
    <xdr:to>
      <xdr:col>3</xdr:col>
      <xdr:colOff>127</xdr:colOff>
      <xdr:row>101</xdr:row>
      <xdr:rowOff>185420</xdr:rowOff>
    </xdr:to>
    <xdr:cxnSp macro="_xll.PtreeEvent_ObjectClick">
      <xdr:nvCxnSpPr>
        <xdr:cNvPr id="66" name="PTObj_DBranchHLine_1_11">
          <a:extLst>
            <a:ext uri="{FF2B5EF4-FFF2-40B4-BE49-F238E27FC236}">
              <a16:creationId xmlns:a16="http://schemas.microsoft.com/office/drawing/2014/main" id="{CF6743D5-969F-49B0-B9F6-BB3C9BF0FDC0}"/>
            </a:ext>
          </a:extLst>
        </xdr:cNvPr>
        <xdr:cNvCxnSpPr/>
      </xdr:nvCxnSpPr>
      <xdr:spPr>
        <a:xfrm>
          <a:off x="2462022" y="4185920"/>
          <a:ext cx="11480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99</xdr:row>
      <xdr:rowOff>180340</xdr:rowOff>
    </xdr:from>
    <xdr:to>
      <xdr:col>2</xdr:col>
      <xdr:colOff>242697</xdr:colOff>
      <xdr:row>101</xdr:row>
      <xdr:rowOff>185420</xdr:rowOff>
    </xdr:to>
    <xdr:cxnSp macro="_xll.PtreeEvent_ObjectClick">
      <xdr:nvCxnSpPr>
        <xdr:cNvPr id="65" name="PTObj_DBranchDLine_1_11">
          <a:extLst>
            <a:ext uri="{FF2B5EF4-FFF2-40B4-BE49-F238E27FC236}">
              <a16:creationId xmlns:a16="http://schemas.microsoft.com/office/drawing/2014/main" id="{89E336C1-6D93-47F6-9A83-021D2907B01E}"/>
            </a:ext>
          </a:extLst>
        </xdr:cNvPr>
        <xdr:cNvCxnSpPr/>
      </xdr:nvCxnSpPr>
      <xdr:spPr>
        <a:xfrm>
          <a:off x="2309622" y="3799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97</xdr:row>
      <xdr:rowOff>185420</xdr:rowOff>
    </xdr:from>
    <xdr:to>
      <xdr:col>3</xdr:col>
      <xdr:colOff>127</xdr:colOff>
      <xdr:row>97</xdr:row>
      <xdr:rowOff>185420</xdr:rowOff>
    </xdr:to>
    <xdr:cxnSp macro="_xll.PtreeEvent_ObjectClick">
      <xdr:nvCxnSpPr>
        <xdr:cNvPr id="62" name="PTObj_DBranchHLine_1_10">
          <a:extLst>
            <a:ext uri="{FF2B5EF4-FFF2-40B4-BE49-F238E27FC236}">
              <a16:creationId xmlns:a16="http://schemas.microsoft.com/office/drawing/2014/main" id="{38BCE525-56D0-4B0D-B9C6-7C31A2129073}"/>
            </a:ext>
          </a:extLst>
        </xdr:cNvPr>
        <xdr:cNvCxnSpPr/>
      </xdr:nvCxnSpPr>
      <xdr:spPr>
        <a:xfrm>
          <a:off x="2462022" y="3423920"/>
          <a:ext cx="8718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97</xdr:row>
      <xdr:rowOff>185420</xdr:rowOff>
    </xdr:from>
    <xdr:to>
      <xdr:col>2</xdr:col>
      <xdr:colOff>242697</xdr:colOff>
      <xdr:row>99</xdr:row>
      <xdr:rowOff>180340</xdr:rowOff>
    </xdr:to>
    <xdr:cxnSp macro="_xll.PtreeEvent_ObjectClick">
      <xdr:nvCxnSpPr>
        <xdr:cNvPr id="61" name="PTObj_DBranchDLine_1_10">
          <a:extLst>
            <a:ext uri="{FF2B5EF4-FFF2-40B4-BE49-F238E27FC236}">
              <a16:creationId xmlns:a16="http://schemas.microsoft.com/office/drawing/2014/main" id="{8305F946-084A-4E11-B7FC-ECB16F4728FF}"/>
            </a:ext>
          </a:extLst>
        </xdr:cNvPr>
        <xdr:cNvCxnSpPr/>
      </xdr:nvCxnSpPr>
      <xdr:spPr>
        <a:xfrm flipV="1">
          <a:off x="2309622" y="3423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242697</xdr:colOff>
      <xdr:row>99</xdr:row>
      <xdr:rowOff>185420</xdr:rowOff>
    </xdr:from>
    <xdr:to>
      <xdr:col>2</xdr:col>
      <xdr:colOff>127</xdr:colOff>
      <xdr:row>99</xdr:row>
      <xdr:rowOff>185420</xdr:rowOff>
    </xdr:to>
    <xdr:cxnSp macro="_xll.PtreeEvent_ObjectClick">
      <xdr:nvCxnSpPr>
        <xdr:cNvPr id="58" name="PTObj_DBranchHLine_1_3">
          <a:extLst>
            <a:ext uri="{FF2B5EF4-FFF2-40B4-BE49-F238E27FC236}">
              <a16:creationId xmlns:a16="http://schemas.microsoft.com/office/drawing/2014/main" id="{5E3BF3AD-AD0E-4FB7-9D8A-DEB106129C59}"/>
            </a:ext>
          </a:extLst>
        </xdr:cNvPr>
        <xdr:cNvCxnSpPr/>
      </xdr:nvCxnSpPr>
      <xdr:spPr>
        <a:xfrm>
          <a:off x="1395222" y="3423920"/>
          <a:ext cx="8242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90297</xdr:colOff>
      <xdr:row>95</xdr:row>
      <xdr:rowOff>180340</xdr:rowOff>
    </xdr:from>
    <xdr:to>
      <xdr:col>1</xdr:col>
      <xdr:colOff>242697</xdr:colOff>
      <xdr:row>99</xdr:row>
      <xdr:rowOff>185420</xdr:rowOff>
    </xdr:to>
    <xdr:cxnSp macro="_xll.PtreeEvent_ObjectClick">
      <xdr:nvCxnSpPr>
        <xdr:cNvPr id="57" name="PTObj_DBranchDLine_1_3">
          <a:extLst>
            <a:ext uri="{FF2B5EF4-FFF2-40B4-BE49-F238E27FC236}">
              <a16:creationId xmlns:a16="http://schemas.microsoft.com/office/drawing/2014/main" id="{0CD3750E-9649-4AF0-B990-489D39F72031}"/>
            </a:ext>
          </a:extLst>
        </xdr:cNvPr>
        <xdr:cNvCxnSpPr/>
      </xdr:nvCxnSpPr>
      <xdr:spPr>
        <a:xfrm>
          <a:off x="1242822" y="3037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87</xdr:row>
      <xdr:rowOff>185420</xdr:rowOff>
    </xdr:from>
    <xdr:to>
      <xdr:col>3</xdr:col>
      <xdr:colOff>127</xdr:colOff>
      <xdr:row>87</xdr:row>
      <xdr:rowOff>185420</xdr:rowOff>
    </xdr:to>
    <xdr:cxnSp macro="_xll.PtreeEvent_ObjectClick">
      <xdr:nvCxnSpPr>
        <xdr:cNvPr id="46" name="PTObj_DBranchHLine_1_5">
          <a:extLst>
            <a:ext uri="{FF2B5EF4-FFF2-40B4-BE49-F238E27FC236}">
              <a16:creationId xmlns:a16="http://schemas.microsoft.com/office/drawing/2014/main" id="{692B86A6-70B6-462E-A52C-E2AB5808365F}"/>
            </a:ext>
          </a:extLst>
        </xdr:cNvPr>
        <xdr:cNvCxnSpPr/>
      </xdr:nvCxnSpPr>
      <xdr:spPr>
        <a:xfrm>
          <a:off x="2928747" y="2280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79</xdr:row>
      <xdr:rowOff>180340</xdr:rowOff>
    </xdr:from>
    <xdr:to>
      <xdr:col>2</xdr:col>
      <xdr:colOff>242697</xdr:colOff>
      <xdr:row>87</xdr:row>
      <xdr:rowOff>185420</xdr:rowOff>
    </xdr:to>
    <xdr:cxnSp macro="_xll.PtreeEvent_ObjectClick">
      <xdr:nvCxnSpPr>
        <xdr:cNvPr id="45" name="PTObj_DBranchDLine_1_5">
          <a:extLst>
            <a:ext uri="{FF2B5EF4-FFF2-40B4-BE49-F238E27FC236}">
              <a16:creationId xmlns:a16="http://schemas.microsoft.com/office/drawing/2014/main" id="{59475C85-5F39-4EFC-ADDD-A4CDAE11E508}"/>
            </a:ext>
          </a:extLst>
        </xdr:cNvPr>
        <xdr:cNvCxnSpPr/>
      </xdr:nvCxnSpPr>
      <xdr:spPr>
        <a:xfrm>
          <a:off x="2776347" y="1513840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71</xdr:row>
      <xdr:rowOff>185420</xdr:rowOff>
    </xdr:from>
    <xdr:to>
      <xdr:col>3</xdr:col>
      <xdr:colOff>127</xdr:colOff>
      <xdr:row>71</xdr:row>
      <xdr:rowOff>185420</xdr:rowOff>
    </xdr:to>
    <xdr:cxnSp macro="_xll.PtreeEvent_ObjectClick">
      <xdr:nvCxnSpPr>
        <xdr:cNvPr id="30" name="PTObj_DBranchHLine_1_4">
          <a:extLst>
            <a:ext uri="{FF2B5EF4-FFF2-40B4-BE49-F238E27FC236}">
              <a16:creationId xmlns:a16="http://schemas.microsoft.com/office/drawing/2014/main" id="{4D25CDEF-0CA6-44E1-869E-8476A83AD8F3}"/>
            </a:ext>
          </a:extLst>
        </xdr:cNvPr>
        <xdr:cNvCxnSpPr/>
      </xdr:nvCxnSpPr>
      <xdr:spPr>
        <a:xfrm>
          <a:off x="2928747" y="375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71</xdr:row>
      <xdr:rowOff>185420</xdr:rowOff>
    </xdr:from>
    <xdr:to>
      <xdr:col>2</xdr:col>
      <xdr:colOff>242697</xdr:colOff>
      <xdr:row>79</xdr:row>
      <xdr:rowOff>180340</xdr:rowOff>
    </xdr:to>
    <xdr:cxnSp macro="_xll.PtreeEvent_ObjectClick">
      <xdr:nvCxnSpPr>
        <xdr:cNvPr id="29" name="PTObj_DBranchDLine_1_4">
          <a:extLst>
            <a:ext uri="{FF2B5EF4-FFF2-40B4-BE49-F238E27FC236}">
              <a16:creationId xmlns:a16="http://schemas.microsoft.com/office/drawing/2014/main" id="{68CD1932-B453-41F7-80F7-B86A35C9BF66}"/>
            </a:ext>
          </a:extLst>
        </xdr:cNvPr>
        <xdr:cNvCxnSpPr/>
      </xdr:nvCxnSpPr>
      <xdr:spPr>
        <a:xfrm flipV="1">
          <a:off x="2776347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242697</xdr:colOff>
      <xdr:row>79</xdr:row>
      <xdr:rowOff>185420</xdr:rowOff>
    </xdr:from>
    <xdr:to>
      <xdr:col>2</xdr:col>
      <xdr:colOff>127</xdr:colOff>
      <xdr:row>79</xdr:row>
      <xdr:rowOff>185420</xdr:rowOff>
    </xdr:to>
    <xdr:cxnSp macro="_xll.PtreeEvent_ObjectClick">
      <xdr:nvCxnSpPr>
        <xdr:cNvPr id="18" name="PTObj_DBranchHLine_1_2">
          <a:extLst>
            <a:ext uri="{FF2B5EF4-FFF2-40B4-BE49-F238E27FC236}">
              <a16:creationId xmlns:a16="http://schemas.microsoft.com/office/drawing/2014/main" id="{ABD03ADE-905C-4912-8F22-B8519B05EC24}"/>
            </a:ext>
          </a:extLst>
        </xdr:cNvPr>
        <xdr:cNvCxnSpPr/>
      </xdr:nvCxnSpPr>
      <xdr:spPr>
        <a:xfrm>
          <a:off x="1395222" y="375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90297</xdr:colOff>
      <xdr:row>79</xdr:row>
      <xdr:rowOff>185420</xdr:rowOff>
    </xdr:from>
    <xdr:to>
      <xdr:col>1</xdr:col>
      <xdr:colOff>242697</xdr:colOff>
      <xdr:row>95</xdr:row>
      <xdr:rowOff>180340</xdr:rowOff>
    </xdr:to>
    <xdr:cxnSp macro="_xll.PtreeEvent_ObjectClick">
      <xdr:nvCxnSpPr>
        <xdr:cNvPr id="17" name="PTObj_DBranchDLine_1_2">
          <a:extLst>
            <a:ext uri="{FF2B5EF4-FFF2-40B4-BE49-F238E27FC236}">
              <a16:creationId xmlns:a16="http://schemas.microsoft.com/office/drawing/2014/main" id="{8CBDE18B-33B0-41B8-AD88-1DCB6EB90ED3}"/>
            </a:ext>
          </a:extLst>
        </xdr:cNvPr>
        <xdr:cNvCxnSpPr/>
      </xdr:nvCxnSpPr>
      <xdr:spPr>
        <a:xfrm flipV="1">
          <a:off x="1242822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177800</xdr:colOff>
      <xdr:row>95</xdr:row>
      <xdr:rowOff>185420</xdr:rowOff>
    </xdr:from>
    <xdr:to>
      <xdr:col>1</xdr:col>
      <xdr:colOff>127</xdr:colOff>
      <xdr:row>95</xdr:row>
      <xdr:rowOff>185420</xdr:rowOff>
    </xdr:to>
    <xdr:cxnSp macro="_xll.PtreeEvent_ObjectClick">
      <xdr:nvCxnSpPr>
        <xdr:cNvPr id="6" name="PTObj_DBranchHLine_1_1">
          <a:extLst>
            <a:ext uri="{FF2B5EF4-FFF2-40B4-BE49-F238E27FC236}">
              <a16:creationId xmlns:a16="http://schemas.microsoft.com/office/drawing/2014/main" id="{859661B9-6D18-4729-B32C-AF28DC1084D4}"/>
            </a:ext>
          </a:extLst>
        </xdr:cNvPr>
        <xdr:cNvCxnSpPr/>
      </xdr:nvCxnSpPr>
      <xdr:spPr>
        <a:xfrm>
          <a:off x="177800" y="375920"/>
          <a:ext cx="974852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127</xdr:colOff>
      <xdr:row>95</xdr:row>
      <xdr:rowOff>90170</xdr:rowOff>
    </xdr:from>
    <xdr:to>
      <xdr:col>1</xdr:col>
      <xdr:colOff>190627</xdr:colOff>
      <xdr:row>96</xdr:row>
      <xdr:rowOff>90170</xdr:rowOff>
    </xdr:to>
    <xdr:sp macro="_xll.PtreeEvent_ObjectClick" textlink="">
      <xdr:nvSpPr>
        <xdr:cNvPr id="5" name="PTObj_DNode_1_1">
          <a:extLst>
            <a:ext uri="{FF2B5EF4-FFF2-40B4-BE49-F238E27FC236}">
              <a16:creationId xmlns:a16="http://schemas.microsoft.com/office/drawing/2014/main" id="{9ED69868-B73D-40B3-BCEC-538A59F9E89D}"/>
            </a:ext>
          </a:extLst>
        </xdr:cNvPr>
        <xdr:cNvSpPr/>
      </xdr:nvSpPr>
      <xdr:spPr>
        <a:xfrm>
          <a:off x="1152652" y="280670"/>
          <a:ext cx="190500" cy="190500"/>
        </a:xfrm>
        <a:prstGeom prst="rect">
          <a:avLst/>
        </a:prstGeom>
        <a:solidFill>
          <a:srgbClr val="008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215900</xdr:colOff>
      <xdr:row>95</xdr:row>
      <xdr:rowOff>95107</xdr:rowOff>
    </xdr:from>
    <xdr:ext cx="509563" cy="180627"/>
    <xdr:sp macro="_xll.PtreeEvent_ObjectClick" textlink="">
      <xdr:nvSpPr>
        <xdr:cNvPr id="7" name="PTObj_DBranchName_1_1">
          <a:extLst>
            <a:ext uri="{FF2B5EF4-FFF2-40B4-BE49-F238E27FC236}">
              <a16:creationId xmlns:a16="http://schemas.microsoft.com/office/drawing/2014/main" id="{C1297EB9-AB2E-4B60-B734-6490F99E44B8}"/>
            </a:ext>
          </a:extLst>
        </xdr:cNvPr>
        <xdr:cNvSpPr txBox="1"/>
      </xdr:nvSpPr>
      <xdr:spPr>
        <a:xfrm>
          <a:off x="215900" y="285607"/>
          <a:ext cx="50956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Sell Zoom?</a:t>
          </a:r>
        </a:p>
      </xdr:txBody>
    </xdr:sp>
    <xdr:clientData/>
  </xdr:oneCellAnchor>
  <xdr:twoCellAnchor editAs="oneCell">
    <xdr:from>
      <xdr:col>2</xdr:col>
      <xdr:colOff>127</xdr:colOff>
      <xdr:row>79</xdr:row>
      <xdr:rowOff>90170</xdr:rowOff>
    </xdr:from>
    <xdr:to>
      <xdr:col>2</xdr:col>
      <xdr:colOff>190627</xdr:colOff>
      <xdr:row>80</xdr:row>
      <xdr:rowOff>90170</xdr:rowOff>
    </xdr:to>
    <xdr:sp macro="_xll.PtreeEvent_ObjectClick" textlink="">
      <xdr:nvSpPr>
        <xdr:cNvPr id="16" name="PTObj_DNode_1_2">
          <a:extLst>
            <a:ext uri="{FF2B5EF4-FFF2-40B4-BE49-F238E27FC236}">
              <a16:creationId xmlns:a16="http://schemas.microsoft.com/office/drawing/2014/main" id="{CCBA18CB-69AA-4CF4-A866-CF0402AB055C}"/>
            </a:ext>
          </a:extLst>
        </xdr:cNvPr>
        <xdr:cNvSpPr/>
      </xdr:nvSpPr>
      <xdr:spPr>
        <a:xfrm>
          <a:off x="2686177" y="280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280797</xdr:colOff>
      <xdr:row>79</xdr:row>
      <xdr:rowOff>95107</xdr:rowOff>
    </xdr:from>
    <xdr:ext cx="320985" cy="180627"/>
    <xdr:sp macro="_xll.PtreeEvent_ObjectClick" textlink="">
      <xdr:nvSpPr>
        <xdr:cNvPr id="19" name="PTObj_DBranchName_1_2">
          <a:extLst>
            <a:ext uri="{FF2B5EF4-FFF2-40B4-BE49-F238E27FC236}">
              <a16:creationId xmlns:a16="http://schemas.microsoft.com/office/drawing/2014/main" id="{6BF6F464-E11F-4200-AEEA-6494FD011825}"/>
            </a:ext>
          </a:extLst>
        </xdr:cNvPr>
        <xdr:cNvSpPr txBox="1"/>
      </xdr:nvSpPr>
      <xdr:spPr>
        <a:xfrm>
          <a:off x="1433322" y="285607"/>
          <a:ext cx="320985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NoSell</a:t>
          </a:r>
        </a:p>
      </xdr:txBody>
    </xdr:sp>
    <xdr:clientData/>
  </xdr:oneCellAnchor>
  <xdr:twoCellAnchor editAs="oneCell">
    <xdr:from>
      <xdr:col>3</xdr:col>
      <xdr:colOff>127</xdr:colOff>
      <xdr:row>71</xdr:row>
      <xdr:rowOff>90170</xdr:rowOff>
    </xdr:from>
    <xdr:to>
      <xdr:col>3</xdr:col>
      <xdr:colOff>190627</xdr:colOff>
      <xdr:row>72</xdr:row>
      <xdr:rowOff>90170</xdr:rowOff>
    </xdr:to>
    <xdr:sp macro="_xll.PtreeEvent_ObjectClick" textlink="">
      <xdr:nvSpPr>
        <xdr:cNvPr id="28" name="PTObj_DNode_1_4">
          <a:extLst>
            <a:ext uri="{FF2B5EF4-FFF2-40B4-BE49-F238E27FC236}">
              <a16:creationId xmlns:a16="http://schemas.microsoft.com/office/drawing/2014/main" id="{6AEDEB7F-7601-4CF4-A22A-E57182AE2D1B}"/>
            </a:ext>
          </a:extLst>
        </xdr:cNvPr>
        <xdr:cNvSpPr/>
      </xdr:nvSpPr>
      <xdr:spPr>
        <a:xfrm>
          <a:off x="4219702" y="280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71</xdr:row>
      <xdr:rowOff>95107</xdr:rowOff>
    </xdr:from>
    <xdr:ext cx="245067" cy="180627"/>
    <xdr:sp macro="_xll.PtreeEvent_ObjectClick" textlink="">
      <xdr:nvSpPr>
        <xdr:cNvPr id="31" name="PTObj_DBranchName_1_4">
          <a:extLst>
            <a:ext uri="{FF2B5EF4-FFF2-40B4-BE49-F238E27FC236}">
              <a16:creationId xmlns:a16="http://schemas.microsoft.com/office/drawing/2014/main" id="{7144DA74-08C7-46D4-AE0E-94FBC1970A47}"/>
            </a:ext>
          </a:extLst>
        </xdr:cNvPr>
        <xdr:cNvSpPr txBox="1"/>
      </xdr:nvSpPr>
      <xdr:spPr>
        <a:xfrm>
          <a:off x="2966847" y="285607"/>
          <a:ext cx="24506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High</a:t>
          </a:r>
        </a:p>
      </xdr:txBody>
    </xdr:sp>
    <xdr:clientData/>
  </xdr:oneCellAnchor>
  <xdr:twoCellAnchor editAs="oneCell">
    <xdr:from>
      <xdr:col>3</xdr:col>
      <xdr:colOff>127</xdr:colOff>
      <xdr:row>87</xdr:row>
      <xdr:rowOff>90170</xdr:rowOff>
    </xdr:from>
    <xdr:to>
      <xdr:col>3</xdr:col>
      <xdr:colOff>190627</xdr:colOff>
      <xdr:row>88</xdr:row>
      <xdr:rowOff>90170</xdr:rowOff>
    </xdr:to>
    <xdr:sp macro="_xll.PtreeEvent_ObjectClick" textlink="">
      <xdr:nvSpPr>
        <xdr:cNvPr id="44" name="PTObj_DNode_1_5">
          <a:extLst>
            <a:ext uri="{FF2B5EF4-FFF2-40B4-BE49-F238E27FC236}">
              <a16:creationId xmlns:a16="http://schemas.microsoft.com/office/drawing/2014/main" id="{54DADA4B-64DB-4506-9162-2D6327D9C185}"/>
            </a:ext>
          </a:extLst>
        </xdr:cNvPr>
        <xdr:cNvSpPr/>
      </xdr:nvSpPr>
      <xdr:spPr>
        <a:xfrm>
          <a:off x="4219702" y="2185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87</xdr:row>
      <xdr:rowOff>95107</xdr:rowOff>
    </xdr:from>
    <xdr:ext cx="226023" cy="180627"/>
    <xdr:sp macro="_xll.PtreeEvent_ObjectClick" textlink="">
      <xdr:nvSpPr>
        <xdr:cNvPr id="47" name="PTObj_DBranchName_1_5">
          <a:extLst>
            <a:ext uri="{FF2B5EF4-FFF2-40B4-BE49-F238E27FC236}">
              <a16:creationId xmlns:a16="http://schemas.microsoft.com/office/drawing/2014/main" id="{E1886C31-6346-435A-9793-55A83221D86D}"/>
            </a:ext>
          </a:extLst>
        </xdr:cNvPr>
        <xdr:cNvSpPr txBox="1"/>
      </xdr:nvSpPr>
      <xdr:spPr>
        <a:xfrm>
          <a:off x="2966847" y="2190607"/>
          <a:ext cx="22602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Low</a:t>
          </a:r>
        </a:p>
      </xdr:txBody>
    </xdr:sp>
    <xdr:clientData/>
  </xdr:oneCellAnchor>
  <xdr:twoCellAnchor editAs="oneCell">
    <xdr:from>
      <xdr:col>2</xdr:col>
      <xdr:colOff>127</xdr:colOff>
      <xdr:row>99</xdr:row>
      <xdr:rowOff>90170</xdr:rowOff>
    </xdr:from>
    <xdr:to>
      <xdr:col>2</xdr:col>
      <xdr:colOff>190627</xdr:colOff>
      <xdr:row>100</xdr:row>
      <xdr:rowOff>90170</xdr:rowOff>
    </xdr:to>
    <xdr:sp macro="_xll.PtreeEvent_ObjectClick" textlink="">
      <xdr:nvSpPr>
        <xdr:cNvPr id="56" name="PTObj_DNode_1_3">
          <a:extLst>
            <a:ext uri="{FF2B5EF4-FFF2-40B4-BE49-F238E27FC236}">
              <a16:creationId xmlns:a16="http://schemas.microsoft.com/office/drawing/2014/main" id="{89F235A8-4F5A-4343-8F37-F4F65FAA1E87}"/>
            </a:ext>
          </a:extLst>
        </xdr:cNvPr>
        <xdr:cNvSpPr/>
      </xdr:nvSpPr>
      <xdr:spPr>
        <a:xfrm>
          <a:off x="2219452" y="3328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280797</xdr:colOff>
      <xdr:row>99</xdr:row>
      <xdr:rowOff>95107</xdr:rowOff>
    </xdr:from>
    <xdr:ext cx="200631" cy="180627"/>
    <xdr:sp macro="_xll.PtreeEvent_ObjectClick" textlink="">
      <xdr:nvSpPr>
        <xdr:cNvPr id="59" name="PTObj_DBranchName_1_3">
          <a:extLst>
            <a:ext uri="{FF2B5EF4-FFF2-40B4-BE49-F238E27FC236}">
              <a16:creationId xmlns:a16="http://schemas.microsoft.com/office/drawing/2014/main" id="{52AF5EDA-4FBE-47CE-8245-DD6031B023FB}"/>
            </a:ext>
          </a:extLst>
        </xdr:cNvPr>
        <xdr:cNvSpPr txBox="1"/>
      </xdr:nvSpPr>
      <xdr:spPr>
        <a:xfrm>
          <a:off x="1433322" y="3333607"/>
          <a:ext cx="20063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Sell</a:t>
          </a:r>
        </a:p>
      </xdr:txBody>
    </xdr:sp>
    <xdr:clientData/>
  </xdr:oneCellAnchor>
  <xdr:twoCellAnchor editAs="oneCell">
    <xdr:from>
      <xdr:col>3</xdr:col>
      <xdr:colOff>127</xdr:colOff>
      <xdr:row>97</xdr:row>
      <xdr:rowOff>90170</xdr:rowOff>
    </xdr:from>
    <xdr:to>
      <xdr:col>3</xdr:col>
      <xdr:colOff>190627</xdr:colOff>
      <xdr:row>98</xdr:row>
      <xdr:rowOff>90170</xdr:rowOff>
    </xdr:to>
    <xdr:sp macro="_xll.PtreeEvent_ObjectClick" textlink="">
      <xdr:nvSpPr>
        <xdr:cNvPr id="60" name="PTObj_DNode_1_10">
          <a:extLst>
            <a:ext uri="{FF2B5EF4-FFF2-40B4-BE49-F238E27FC236}">
              <a16:creationId xmlns:a16="http://schemas.microsoft.com/office/drawing/2014/main" id="{74E44948-0CB0-4763-960D-7372FA401947}"/>
            </a:ext>
          </a:extLst>
        </xdr:cNvPr>
        <xdr:cNvSpPr/>
      </xdr:nvSpPr>
      <xdr:spPr>
        <a:xfrm rot="-5400000">
          <a:off x="3333877" y="3328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97</xdr:row>
      <xdr:rowOff>95107</xdr:rowOff>
    </xdr:from>
    <xdr:ext cx="245067" cy="180627"/>
    <xdr:sp macro="_xll.PtreeEvent_ObjectClick" textlink="">
      <xdr:nvSpPr>
        <xdr:cNvPr id="63" name="PTObj_DBranchName_1_10">
          <a:extLst>
            <a:ext uri="{FF2B5EF4-FFF2-40B4-BE49-F238E27FC236}">
              <a16:creationId xmlns:a16="http://schemas.microsoft.com/office/drawing/2014/main" id="{5D8FB88F-DDAC-47AF-BF90-3C43371264C6}"/>
            </a:ext>
          </a:extLst>
        </xdr:cNvPr>
        <xdr:cNvSpPr txBox="1"/>
      </xdr:nvSpPr>
      <xdr:spPr>
        <a:xfrm>
          <a:off x="2500122" y="3333607"/>
          <a:ext cx="245067" cy="180627"/>
        </a:xfrm>
        <a:prstGeom prst="rect">
          <a:avLst/>
        </a:prstGeom>
        <a:solidFill>
          <a:srgbClr val="FFFFFF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High</a:t>
          </a:r>
        </a:p>
      </xdr:txBody>
    </xdr:sp>
    <xdr:clientData/>
  </xdr:oneCellAnchor>
  <xdr:twoCellAnchor editAs="oneCell">
    <xdr:from>
      <xdr:col>3</xdr:col>
      <xdr:colOff>127</xdr:colOff>
      <xdr:row>101</xdr:row>
      <xdr:rowOff>90170</xdr:rowOff>
    </xdr:from>
    <xdr:to>
      <xdr:col>3</xdr:col>
      <xdr:colOff>190627</xdr:colOff>
      <xdr:row>102</xdr:row>
      <xdr:rowOff>90170</xdr:rowOff>
    </xdr:to>
    <xdr:sp macro="_xll.PtreeEvent_ObjectClick" textlink="">
      <xdr:nvSpPr>
        <xdr:cNvPr id="64" name="PTObj_DNode_1_11">
          <a:extLst>
            <a:ext uri="{FF2B5EF4-FFF2-40B4-BE49-F238E27FC236}">
              <a16:creationId xmlns:a16="http://schemas.microsoft.com/office/drawing/2014/main" id="{74816E02-E765-4AA0-91D6-ED22A72A6221}"/>
            </a:ext>
          </a:extLst>
        </xdr:cNvPr>
        <xdr:cNvSpPr/>
      </xdr:nvSpPr>
      <xdr:spPr>
        <a:xfrm rot="-5400000">
          <a:off x="3610102" y="4090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101</xdr:row>
      <xdr:rowOff>95107</xdr:rowOff>
    </xdr:from>
    <xdr:ext cx="226023" cy="180627"/>
    <xdr:sp macro="_xll.PtreeEvent_ObjectClick" textlink="">
      <xdr:nvSpPr>
        <xdr:cNvPr id="67" name="PTObj_DBranchName_1_11">
          <a:extLst>
            <a:ext uri="{FF2B5EF4-FFF2-40B4-BE49-F238E27FC236}">
              <a16:creationId xmlns:a16="http://schemas.microsoft.com/office/drawing/2014/main" id="{FE5E3EFF-F358-44B5-9844-46B43E435A27}"/>
            </a:ext>
          </a:extLst>
        </xdr:cNvPr>
        <xdr:cNvSpPr txBox="1"/>
      </xdr:nvSpPr>
      <xdr:spPr>
        <a:xfrm>
          <a:off x="2500122" y="4095607"/>
          <a:ext cx="22602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Low</a:t>
          </a:r>
        </a:p>
      </xdr:txBody>
    </xdr:sp>
    <xdr:clientData/>
  </xdr:oneCellAnchor>
  <xdr:twoCellAnchor editAs="oneCell">
    <xdr:from>
      <xdr:col>4</xdr:col>
      <xdr:colOff>127</xdr:colOff>
      <xdr:row>67</xdr:row>
      <xdr:rowOff>90170</xdr:rowOff>
    </xdr:from>
    <xdr:to>
      <xdr:col>4</xdr:col>
      <xdr:colOff>190627</xdr:colOff>
      <xdr:row>68</xdr:row>
      <xdr:rowOff>90170</xdr:rowOff>
    </xdr:to>
    <xdr:sp macro="_xll.PtreeEvent_ObjectClick" textlink="">
      <xdr:nvSpPr>
        <xdr:cNvPr id="2" name="PTObj_DNode_1_6">
          <a:extLst>
            <a:ext uri="{FF2B5EF4-FFF2-40B4-BE49-F238E27FC236}">
              <a16:creationId xmlns:a16="http://schemas.microsoft.com/office/drawing/2014/main" id="{98CCE1F4-179C-42C7-9972-38BFF1F94712}"/>
            </a:ext>
          </a:extLst>
        </xdr:cNvPr>
        <xdr:cNvSpPr/>
      </xdr:nvSpPr>
      <xdr:spPr>
        <a:xfrm>
          <a:off x="3972052" y="280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67</xdr:row>
      <xdr:rowOff>95107</xdr:rowOff>
    </xdr:from>
    <xdr:ext cx="264944" cy="180627"/>
    <xdr:sp macro="_xll.PtreeEvent_ObjectClick" textlink="">
      <xdr:nvSpPr>
        <xdr:cNvPr id="8" name="PTObj_DBranchName_1_6">
          <a:extLst>
            <a:ext uri="{FF2B5EF4-FFF2-40B4-BE49-F238E27FC236}">
              <a16:creationId xmlns:a16="http://schemas.microsoft.com/office/drawing/2014/main" id="{BBC14D5E-3FF2-4A9B-A643-E8DACDB29EC7}"/>
            </a:ext>
          </a:extLst>
        </xdr:cNvPr>
        <xdr:cNvSpPr txBox="1"/>
      </xdr:nvSpPr>
      <xdr:spPr>
        <a:xfrm>
          <a:off x="3166872" y="285607"/>
          <a:ext cx="26494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War!</a:t>
          </a:r>
        </a:p>
      </xdr:txBody>
    </xdr:sp>
    <xdr:clientData/>
  </xdr:oneCellAnchor>
  <xdr:twoCellAnchor editAs="oneCell">
    <xdr:from>
      <xdr:col>5</xdr:col>
      <xdr:colOff>127</xdr:colOff>
      <xdr:row>65</xdr:row>
      <xdr:rowOff>90170</xdr:rowOff>
    </xdr:from>
    <xdr:to>
      <xdr:col>5</xdr:col>
      <xdr:colOff>190627</xdr:colOff>
      <xdr:row>66</xdr:row>
      <xdr:rowOff>90170</xdr:rowOff>
    </xdr:to>
    <xdr:sp macro="_xll.PtreeEvent_ObjectClick" textlink="">
      <xdr:nvSpPr>
        <xdr:cNvPr id="9" name="PTObj_DNode_1_12">
          <a:extLst>
            <a:ext uri="{FF2B5EF4-FFF2-40B4-BE49-F238E27FC236}">
              <a16:creationId xmlns:a16="http://schemas.microsoft.com/office/drawing/2014/main" id="{B1FC9BB4-4042-47E7-9539-11FB4053A567}"/>
            </a:ext>
          </a:extLst>
        </xdr:cNvPr>
        <xdr:cNvSpPr/>
      </xdr:nvSpPr>
      <xdr:spPr>
        <a:xfrm rot="-5400000">
          <a:off x="5105527" y="280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65</xdr:row>
      <xdr:rowOff>95107</xdr:rowOff>
    </xdr:from>
    <xdr:ext cx="424090" cy="180627"/>
    <xdr:sp macro="_xll.PtreeEvent_ObjectClick" textlink="">
      <xdr:nvSpPr>
        <xdr:cNvPr id="12" name="PTObj_DBranchName_1_12">
          <a:extLst>
            <a:ext uri="{FF2B5EF4-FFF2-40B4-BE49-F238E27FC236}">
              <a16:creationId xmlns:a16="http://schemas.microsoft.com/office/drawing/2014/main" id="{FC2B7E30-DD3C-46CB-80D5-F4BCE35712CE}"/>
            </a:ext>
          </a:extLst>
        </xdr:cNvPr>
        <xdr:cNvSpPr txBox="1"/>
      </xdr:nvSpPr>
      <xdr:spPr>
        <a:xfrm>
          <a:off x="4271772" y="285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5</xdr:col>
      <xdr:colOff>127</xdr:colOff>
      <xdr:row>69</xdr:row>
      <xdr:rowOff>90170</xdr:rowOff>
    </xdr:from>
    <xdr:to>
      <xdr:col>5</xdr:col>
      <xdr:colOff>190627</xdr:colOff>
      <xdr:row>70</xdr:row>
      <xdr:rowOff>90170</xdr:rowOff>
    </xdr:to>
    <xdr:sp macro="_xll.PtreeEvent_ObjectClick" textlink="">
      <xdr:nvSpPr>
        <xdr:cNvPr id="13" name="PTObj_DNode_1_13">
          <a:extLst>
            <a:ext uri="{FF2B5EF4-FFF2-40B4-BE49-F238E27FC236}">
              <a16:creationId xmlns:a16="http://schemas.microsoft.com/office/drawing/2014/main" id="{1EBFFEC6-0441-46FB-AA58-6235736397B0}"/>
            </a:ext>
          </a:extLst>
        </xdr:cNvPr>
        <xdr:cNvSpPr/>
      </xdr:nvSpPr>
      <xdr:spPr>
        <a:xfrm rot="-5400000">
          <a:off x="5381752" y="1042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69</xdr:row>
      <xdr:rowOff>95107</xdr:rowOff>
    </xdr:from>
    <xdr:ext cx="195951" cy="180627"/>
    <xdr:sp macro="_xll.PtreeEvent_ObjectClick" textlink="">
      <xdr:nvSpPr>
        <xdr:cNvPr id="20" name="PTObj_DBranchName_1_13">
          <a:extLst>
            <a:ext uri="{FF2B5EF4-FFF2-40B4-BE49-F238E27FC236}">
              <a16:creationId xmlns:a16="http://schemas.microsoft.com/office/drawing/2014/main" id="{02C1497F-469A-454F-B124-EE965E06E918}"/>
            </a:ext>
          </a:extLst>
        </xdr:cNvPr>
        <xdr:cNvSpPr txBox="1"/>
      </xdr:nvSpPr>
      <xdr:spPr>
        <a:xfrm>
          <a:off x="4271772" y="1047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4</xdr:col>
      <xdr:colOff>127</xdr:colOff>
      <xdr:row>75</xdr:row>
      <xdr:rowOff>90170</xdr:rowOff>
    </xdr:from>
    <xdr:to>
      <xdr:col>4</xdr:col>
      <xdr:colOff>190627</xdr:colOff>
      <xdr:row>76</xdr:row>
      <xdr:rowOff>90170</xdr:rowOff>
    </xdr:to>
    <xdr:sp macro="_xll.PtreeEvent_ObjectClick" textlink="">
      <xdr:nvSpPr>
        <xdr:cNvPr id="25" name="PTObj_DNode_1_7">
          <a:extLst>
            <a:ext uri="{FF2B5EF4-FFF2-40B4-BE49-F238E27FC236}">
              <a16:creationId xmlns:a16="http://schemas.microsoft.com/office/drawing/2014/main" id="{52916886-B999-45ED-AFED-2B2398865662}"/>
            </a:ext>
          </a:extLst>
        </xdr:cNvPr>
        <xdr:cNvSpPr/>
      </xdr:nvSpPr>
      <xdr:spPr>
        <a:xfrm>
          <a:off x="4029202" y="2185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75</xdr:row>
      <xdr:rowOff>95107</xdr:rowOff>
    </xdr:from>
    <xdr:ext cx="303032" cy="180627"/>
    <xdr:sp macro="_xll.PtreeEvent_ObjectClick" textlink="">
      <xdr:nvSpPr>
        <xdr:cNvPr id="40" name="PTObj_DBranchName_1_7">
          <a:extLst>
            <a:ext uri="{FF2B5EF4-FFF2-40B4-BE49-F238E27FC236}">
              <a16:creationId xmlns:a16="http://schemas.microsoft.com/office/drawing/2014/main" id="{8C67101D-AD32-49ED-ACAB-EAD1577D5A68}"/>
            </a:ext>
          </a:extLst>
        </xdr:cNvPr>
        <xdr:cNvSpPr txBox="1"/>
      </xdr:nvSpPr>
      <xdr:spPr>
        <a:xfrm>
          <a:off x="3166872" y="2190607"/>
          <a:ext cx="30303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Peace</a:t>
          </a:r>
        </a:p>
      </xdr:txBody>
    </xdr:sp>
    <xdr:clientData/>
  </xdr:oneCellAnchor>
  <xdr:twoCellAnchor editAs="oneCell">
    <xdr:from>
      <xdr:col>5</xdr:col>
      <xdr:colOff>127</xdr:colOff>
      <xdr:row>73</xdr:row>
      <xdr:rowOff>90170</xdr:rowOff>
    </xdr:from>
    <xdr:to>
      <xdr:col>5</xdr:col>
      <xdr:colOff>190627</xdr:colOff>
      <xdr:row>74</xdr:row>
      <xdr:rowOff>90170</xdr:rowOff>
    </xdr:to>
    <xdr:sp macro="_xll.PtreeEvent_ObjectClick" textlink="">
      <xdr:nvSpPr>
        <xdr:cNvPr id="41" name="PTObj_DNode_1_14">
          <a:extLst>
            <a:ext uri="{FF2B5EF4-FFF2-40B4-BE49-F238E27FC236}">
              <a16:creationId xmlns:a16="http://schemas.microsoft.com/office/drawing/2014/main" id="{055EA318-6E35-4055-9F13-5A74389F3699}"/>
            </a:ext>
          </a:extLst>
        </xdr:cNvPr>
        <xdr:cNvSpPr/>
      </xdr:nvSpPr>
      <xdr:spPr>
        <a:xfrm rot="-5400000">
          <a:off x="5562727" y="1804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73</xdr:row>
      <xdr:rowOff>95107</xdr:rowOff>
    </xdr:from>
    <xdr:ext cx="424090" cy="180627"/>
    <xdr:sp macro="_xll.PtreeEvent_ObjectClick" textlink="">
      <xdr:nvSpPr>
        <xdr:cNvPr id="68" name="PTObj_DBranchName_1_14">
          <a:extLst>
            <a:ext uri="{FF2B5EF4-FFF2-40B4-BE49-F238E27FC236}">
              <a16:creationId xmlns:a16="http://schemas.microsoft.com/office/drawing/2014/main" id="{87813F8D-833D-45A8-8B9E-9B094F8E71DB}"/>
            </a:ext>
          </a:extLst>
        </xdr:cNvPr>
        <xdr:cNvSpPr txBox="1"/>
      </xdr:nvSpPr>
      <xdr:spPr>
        <a:xfrm>
          <a:off x="4309872" y="1809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5</xdr:col>
      <xdr:colOff>127</xdr:colOff>
      <xdr:row>77</xdr:row>
      <xdr:rowOff>90170</xdr:rowOff>
    </xdr:from>
    <xdr:to>
      <xdr:col>5</xdr:col>
      <xdr:colOff>190627</xdr:colOff>
      <xdr:row>78</xdr:row>
      <xdr:rowOff>90170</xdr:rowOff>
    </xdr:to>
    <xdr:sp macro="_xll.PtreeEvent_ObjectClick" textlink="">
      <xdr:nvSpPr>
        <xdr:cNvPr id="69" name="PTObj_DNode_1_15">
          <a:extLst>
            <a:ext uri="{FF2B5EF4-FFF2-40B4-BE49-F238E27FC236}">
              <a16:creationId xmlns:a16="http://schemas.microsoft.com/office/drawing/2014/main" id="{C874082F-4ADC-4EB1-8756-054EDC16BCB5}"/>
            </a:ext>
          </a:extLst>
        </xdr:cNvPr>
        <xdr:cNvSpPr/>
      </xdr:nvSpPr>
      <xdr:spPr>
        <a:xfrm rot="-5400000">
          <a:off x="5562727" y="2566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77</xdr:row>
      <xdr:rowOff>95107</xdr:rowOff>
    </xdr:from>
    <xdr:ext cx="195951" cy="180627"/>
    <xdr:sp macro="_xll.PtreeEvent_ObjectClick" textlink="">
      <xdr:nvSpPr>
        <xdr:cNvPr id="72" name="PTObj_DBranchName_1_15">
          <a:extLst>
            <a:ext uri="{FF2B5EF4-FFF2-40B4-BE49-F238E27FC236}">
              <a16:creationId xmlns:a16="http://schemas.microsoft.com/office/drawing/2014/main" id="{F27D53C1-753A-4953-8AE2-21FAF05B5327}"/>
            </a:ext>
          </a:extLst>
        </xdr:cNvPr>
        <xdr:cNvSpPr txBox="1"/>
      </xdr:nvSpPr>
      <xdr:spPr>
        <a:xfrm>
          <a:off x="4309872" y="2571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4</xdr:col>
      <xdr:colOff>127</xdr:colOff>
      <xdr:row>83</xdr:row>
      <xdr:rowOff>90170</xdr:rowOff>
    </xdr:from>
    <xdr:to>
      <xdr:col>4</xdr:col>
      <xdr:colOff>190627</xdr:colOff>
      <xdr:row>84</xdr:row>
      <xdr:rowOff>90170</xdr:rowOff>
    </xdr:to>
    <xdr:sp macro="_xll.PtreeEvent_ObjectClick" textlink="">
      <xdr:nvSpPr>
        <xdr:cNvPr id="77" name="PTObj_DNode_1_8">
          <a:extLst>
            <a:ext uri="{FF2B5EF4-FFF2-40B4-BE49-F238E27FC236}">
              <a16:creationId xmlns:a16="http://schemas.microsoft.com/office/drawing/2014/main" id="{61F66BA8-B151-4D27-90B2-B1149206CE6C}"/>
            </a:ext>
          </a:extLst>
        </xdr:cNvPr>
        <xdr:cNvSpPr/>
      </xdr:nvSpPr>
      <xdr:spPr>
        <a:xfrm>
          <a:off x="4029202" y="3709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83</xdr:row>
      <xdr:rowOff>95107</xdr:rowOff>
    </xdr:from>
    <xdr:ext cx="264944" cy="180627"/>
    <xdr:sp macro="_xll.PtreeEvent_ObjectClick" textlink="">
      <xdr:nvSpPr>
        <xdr:cNvPr id="80" name="PTObj_DBranchName_1_8">
          <a:extLst>
            <a:ext uri="{FF2B5EF4-FFF2-40B4-BE49-F238E27FC236}">
              <a16:creationId xmlns:a16="http://schemas.microsoft.com/office/drawing/2014/main" id="{611419ED-DEA0-4CA4-972F-3FDF5068CC89}"/>
            </a:ext>
          </a:extLst>
        </xdr:cNvPr>
        <xdr:cNvSpPr txBox="1"/>
      </xdr:nvSpPr>
      <xdr:spPr>
        <a:xfrm>
          <a:off x="3166872" y="3714607"/>
          <a:ext cx="26494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War!</a:t>
          </a:r>
        </a:p>
      </xdr:txBody>
    </xdr:sp>
    <xdr:clientData/>
  </xdr:oneCellAnchor>
  <xdr:twoCellAnchor editAs="oneCell">
    <xdr:from>
      <xdr:col>5</xdr:col>
      <xdr:colOff>127</xdr:colOff>
      <xdr:row>81</xdr:row>
      <xdr:rowOff>90170</xdr:rowOff>
    </xdr:from>
    <xdr:to>
      <xdr:col>5</xdr:col>
      <xdr:colOff>190627</xdr:colOff>
      <xdr:row>82</xdr:row>
      <xdr:rowOff>90170</xdr:rowOff>
    </xdr:to>
    <xdr:sp macro="_xll.PtreeEvent_ObjectClick" textlink="">
      <xdr:nvSpPr>
        <xdr:cNvPr id="81" name="PTObj_DNode_1_16">
          <a:extLst>
            <a:ext uri="{FF2B5EF4-FFF2-40B4-BE49-F238E27FC236}">
              <a16:creationId xmlns:a16="http://schemas.microsoft.com/office/drawing/2014/main" id="{9A465856-050B-4F70-BF40-9CC198A185B0}"/>
            </a:ext>
          </a:extLst>
        </xdr:cNvPr>
        <xdr:cNvSpPr/>
      </xdr:nvSpPr>
      <xdr:spPr>
        <a:xfrm rot="-5400000">
          <a:off x="5562727" y="3328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81</xdr:row>
      <xdr:rowOff>95107</xdr:rowOff>
    </xdr:from>
    <xdr:ext cx="424090" cy="180627"/>
    <xdr:sp macro="_xll.PtreeEvent_ObjectClick" textlink="">
      <xdr:nvSpPr>
        <xdr:cNvPr id="84" name="PTObj_DBranchName_1_16">
          <a:extLst>
            <a:ext uri="{FF2B5EF4-FFF2-40B4-BE49-F238E27FC236}">
              <a16:creationId xmlns:a16="http://schemas.microsoft.com/office/drawing/2014/main" id="{C6C5B3BD-CBFC-46E8-AC05-A1593ACED9E3}"/>
            </a:ext>
          </a:extLst>
        </xdr:cNvPr>
        <xdr:cNvSpPr txBox="1"/>
      </xdr:nvSpPr>
      <xdr:spPr>
        <a:xfrm>
          <a:off x="4309872" y="3333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5</xdr:col>
      <xdr:colOff>127</xdr:colOff>
      <xdr:row>85</xdr:row>
      <xdr:rowOff>90170</xdr:rowOff>
    </xdr:from>
    <xdr:to>
      <xdr:col>5</xdr:col>
      <xdr:colOff>190627</xdr:colOff>
      <xdr:row>86</xdr:row>
      <xdr:rowOff>90170</xdr:rowOff>
    </xdr:to>
    <xdr:sp macro="_xll.PtreeEvent_ObjectClick" textlink="">
      <xdr:nvSpPr>
        <xdr:cNvPr id="85" name="PTObj_DNode_1_17">
          <a:extLst>
            <a:ext uri="{FF2B5EF4-FFF2-40B4-BE49-F238E27FC236}">
              <a16:creationId xmlns:a16="http://schemas.microsoft.com/office/drawing/2014/main" id="{10D39C07-A6B9-421B-8A7C-15C13E2219B8}"/>
            </a:ext>
          </a:extLst>
        </xdr:cNvPr>
        <xdr:cNvSpPr/>
      </xdr:nvSpPr>
      <xdr:spPr>
        <a:xfrm rot="-5400000">
          <a:off x="5562727" y="4090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85</xdr:row>
      <xdr:rowOff>95107</xdr:rowOff>
    </xdr:from>
    <xdr:ext cx="195951" cy="180627"/>
    <xdr:sp macro="_xll.PtreeEvent_ObjectClick" textlink="">
      <xdr:nvSpPr>
        <xdr:cNvPr id="88" name="PTObj_DBranchName_1_17">
          <a:extLst>
            <a:ext uri="{FF2B5EF4-FFF2-40B4-BE49-F238E27FC236}">
              <a16:creationId xmlns:a16="http://schemas.microsoft.com/office/drawing/2014/main" id="{A5194F25-5076-49DB-925E-45EA5BABE8D0}"/>
            </a:ext>
          </a:extLst>
        </xdr:cNvPr>
        <xdr:cNvSpPr txBox="1"/>
      </xdr:nvSpPr>
      <xdr:spPr>
        <a:xfrm>
          <a:off x="4309872" y="4095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4</xdr:col>
      <xdr:colOff>127</xdr:colOff>
      <xdr:row>91</xdr:row>
      <xdr:rowOff>90170</xdr:rowOff>
    </xdr:from>
    <xdr:to>
      <xdr:col>4</xdr:col>
      <xdr:colOff>190627</xdr:colOff>
      <xdr:row>92</xdr:row>
      <xdr:rowOff>90170</xdr:rowOff>
    </xdr:to>
    <xdr:sp macro="_xll.PtreeEvent_ObjectClick" textlink="">
      <xdr:nvSpPr>
        <xdr:cNvPr id="93" name="PTObj_DNode_1_9">
          <a:extLst>
            <a:ext uri="{FF2B5EF4-FFF2-40B4-BE49-F238E27FC236}">
              <a16:creationId xmlns:a16="http://schemas.microsoft.com/office/drawing/2014/main" id="{5FD0B979-833B-4167-9E4F-C01C32A8DF9C}"/>
            </a:ext>
          </a:extLst>
        </xdr:cNvPr>
        <xdr:cNvSpPr/>
      </xdr:nvSpPr>
      <xdr:spPr>
        <a:xfrm>
          <a:off x="4029202" y="5233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91</xdr:row>
      <xdr:rowOff>95107</xdr:rowOff>
    </xdr:from>
    <xdr:ext cx="303032" cy="180627"/>
    <xdr:sp macro="_xll.PtreeEvent_ObjectClick" textlink="">
      <xdr:nvSpPr>
        <xdr:cNvPr id="96" name="PTObj_DBranchName_1_9">
          <a:extLst>
            <a:ext uri="{FF2B5EF4-FFF2-40B4-BE49-F238E27FC236}">
              <a16:creationId xmlns:a16="http://schemas.microsoft.com/office/drawing/2014/main" id="{18C79686-3D26-499F-9911-A3C89A3830C2}"/>
            </a:ext>
          </a:extLst>
        </xdr:cNvPr>
        <xdr:cNvSpPr txBox="1"/>
      </xdr:nvSpPr>
      <xdr:spPr>
        <a:xfrm>
          <a:off x="3166872" y="5238607"/>
          <a:ext cx="30303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Peace</a:t>
          </a:r>
        </a:p>
      </xdr:txBody>
    </xdr:sp>
    <xdr:clientData/>
  </xdr:oneCellAnchor>
  <xdr:twoCellAnchor editAs="oneCell">
    <xdr:from>
      <xdr:col>5</xdr:col>
      <xdr:colOff>127</xdr:colOff>
      <xdr:row>89</xdr:row>
      <xdr:rowOff>90170</xdr:rowOff>
    </xdr:from>
    <xdr:to>
      <xdr:col>5</xdr:col>
      <xdr:colOff>190627</xdr:colOff>
      <xdr:row>90</xdr:row>
      <xdr:rowOff>90170</xdr:rowOff>
    </xdr:to>
    <xdr:sp macro="_xll.PtreeEvent_ObjectClick" textlink="">
      <xdr:nvSpPr>
        <xdr:cNvPr id="97" name="PTObj_DNode_1_18">
          <a:extLst>
            <a:ext uri="{FF2B5EF4-FFF2-40B4-BE49-F238E27FC236}">
              <a16:creationId xmlns:a16="http://schemas.microsoft.com/office/drawing/2014/main" id="{04F57B7E-5A90-4082-9CBA-B7215338AD17}"/>
            </a:ext>
          </a:extLst>
        </xdr:cNvPr>
        <xdr:cNvSpPr/>
      </xdr:nvSpPr>
      <xdr:spPr>
        <a:xfrm rot="-5400000">
          <a:off x="5562727" y="4852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89</xdr:row>
      <xdr:rowOff>95107</xdr:rowOff>
    </xdr:from>
    <xdr:ext cx="424090" cy="180627"/>
    <xdr:sp macro="_xll.PtreeEvent_ObjectClick" textlink="">
      <xdr:nvSpPr>
        <xdr:cNvPr id="100" name="PTObj_DBranchName_1_18">
          <a:extLst>
            <a:ext uri="{FF2B5EF4-FFF2-40B4-BE49-F238E27FC236}">
              <a16:creationId xmlns:a16="http://schemas.microsoft.com/office/drawing/2014/main" id="{FF67015F-C570-4F6E-9BB4-D8FECCAA1210}"/>
            </a:ext>
          </a:extLst>
        </xdr:cNvPr>
        <xdr:cNvSpPr txBox="1"/>
      </xdr:nvSpPr>
      <xdr:spPr>
        <a:xfrm>
          <a:off x="4309872" y="4857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5</xdr:col>
      <xdr:colOff>127</xdr:colOff>
      <xdr:row>93</xdr:row>
      <xdr:rowOff>90170</xdr:rowOff>
    </xdr:from>
    <xdr:to>
      <xdr:col>5</xdr:col>
      <xdr:colOff>190627</xdr:colOff>
      <xdr:row>94</xdr:row>
      <xdr:rowOff>90170</xdr:rowOff>
    </xdr:to>
    <xdr:sp macro="_xll.PtreeEvent_ObjectClick" textlink="">
      <xdr:nvSpPr>
        <xdr:cNvPr id="101" name="PTObj_DNode_1_19">
          <a:extLst>
            <a:ext uri="{FF2B5EF4-FFF2-40B4-BE49-F238E27FC236}">
              <a16:creationId xmlns:a16="http://schemas.microsoft.com/office/drawing/2014/main" id="{AFF5201A-B168-4AEE-B82E-1C4A0DF2EBA3}"/>
            </a:ext>
          </a:extLst>
        </xdr:cNvPr>
        <xdr:cNvSpPr/>
      </xdr:nvSpPr>
      <xdr:spPr>
        <a:xfrm rot="-5400000">
          <a:off x="5562727" y="5614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280797</xdr:colOff>
      <xdr:row>93</xdr:row>
      <xdr:rowOff>95107</xdr:rowOff>
    </xdr:from>
    <xdr:ext cx="195951" cy="180627"/>
    <xdr:sp macro="_xll.PtreeEvent_ObjectClick" textlink="">
      <xdr:nvSpPr>
        <xdr:cNvPr id="104" name="PTObj_DBranchName_1_19">
          <a:extLst>
            <a:ext uri="{FF2B5EF4-FFF2-40B4-BE49-F238E27FC236}">
              <a16:creationId xmlns:a16="http://schemas.microsoft.com/office/drawing/2014/main" id="{E17459D4-66D8-4F91-BD3D-88F19C1D3E60}"/>
            </a:ext>
          </a:extLst>
        </xdr:cNvPr>
        <xdr:cNvSpPr txBox="1"/>
      </xdr:nvSpPr>
      <xdr:spPr>
        <a:xfrm>
          <a:off x="4309872" y="5619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1</xdr:col>
      <xdr:colOff>127</xdr:colOff>
      <xdr:row>15</xdr:row>
      <xdr:rowOff>90170</xdr:rowOff>
    </xdr:from>
    <xdr:to>
      <xdr:col>1</xdr:col>
      <xdr:colOff>190627</xdr:colOff>
      <xdr:row>16</xdr:row>
      <xdr:rowOff>90170</xdr:rowOff>
    </xdr:to>
    <xdr:sp macro="_xll.PtreeEvent_ObjectClick" textlink="">
      <xdr:nvSpPr>
        <xdr:cNvPr id="111" name="PTObj_DNode_2_1">
          <a:extLst>
            <a:ext uri="{FF2B5EF4-FFF2-40B4-BE49-F238E27FC236}">
              <a16:creationId xmlns:a16="http://schemas.microsoft.com/office/drawing/2014/main" id="{445D3F58-5414-4EC6-9529-F18B88C7EE60}"/>
            </a:ext>
          </a:extLst>
        </xdr:cNvPr>
        <xdr:cNvSpPr/>
      </xdr:nvSpPr>
      <xdr:spPr>
        <a:xfrm>
          <a:off x="1200277" y="2947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215900</xdr:colOff>
      <xdr:row>15</xdr:row>
      <xdr:rowOff>95107</xdr:rowOff>
    </xdr:from>
    <xdr:ext cx="552652" cy="180627"/>
    <xdr:sp macro="_xll.PtreeEvent_ObjectClick" textlink="">
      <xdr:nvSpPr>
        <xdr:cNvPr id="113" name="PTObj_DBranchName_2_1">
          <a:extLst>
            <a:ext uri="{FF2B5EF4-FFF2-40B4-BE49-F238E27FC236}">
              <a16:creationId xmlns:a16="http://schemas.microsoft.com/office/drawing/2014/main" id="{C6ACF2B5-314A-4C85-849F-4BADEDB00970}"/>
            </a:ext>
          </a:extLst>
        </xdr:cNvPr>
        <xdr:cNvSpPr txBox="1"/>
      </xdr:nvSpPr>
      <xdr:spPr>
        <a:xfrm>
          <a:off x="215900" y="2952607"/>
          <a:ext cx="55265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Zoom Value</a:t>
          </a:r>
        </a:p>
      </xdr:txBody>
    </xdr:sp>
    <xdr:clientData/>
  </xdr:oneCellAnchor>
  <xdr:twoCellAnchor editAs="oneCell">
    <xdr:from>
      <xdr:col>2</xdr:col>
      <xdr:colOff>127</xdr:colOff>
      <xdr:row>7</xdr:row>
      <xdr:rowOff>90170</xdr:rowOff>
    </xdr:from>
    <xdr:to>
      <xdr:col>2</xdr:col>
      <xdr:colOff>190627</xdr:colOff>
      <xdr:row>8</xdr:row>
      <xdr:rowOff>90170</xdr:rowOff>
    </xdr:to>
    <xdr:sp macro="_xll.PtreeEvent_ObjectClick" textlink="">
      <xdr:nvSpPr>
        <xdr:cNvPr id="114" name="PTObj_DNode_2_2">
          <a:extLst>
            <a:ext uri="{FF2B5EF4-FFF2-40B4-BE49-F238E27FC236}">
              <a16:creationId xmlns:a16="http://schemas.microsoft.com/office/drawing/2014/main" id="{533E258B-4973-4A64-938B-5809EE3C503A}"/>
            </a:ext>
          </a:extLst>
        </xdr:cNvPr>
        <xdr:cNvSpPr/>
      </xdr:nvSpPr>
      <xdr:spPr>
        <a:xfrm>
          <a:off x="2324227" y="1423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280797</xdr:colOff>
      <xdr:row>7</xdr:row>
      <xdr:rowOff>95107</xdr:rowOff>
    </xdr:from>
    <xdr:ext cx="245067" cy="180627"/>
    <xdr:sp macro="_xll.PtreeEvent_ObjectClick" textlink="">
      <xdr:nvSpPr>
        <xdr:cNvPr id="117" name="PTObj_DBranchName_2_2">
          <a:extLst>
            <a:ext uri="{FF2B5EF4-FFF2-40B4-BE49-F238E27FC236}">
              <a16:creationId xmlns:a16="http://schemas.microsoft.com/office/drawing/2014/main" id="{9597331C-1320-4B86-BF99-02FC7A1CA388}"/>
            </a:ext>
          </a:extLst>
        </xdr:cNvPr>
        <xdr:cNvSpPr txBox="1"/>
      </xdr:nvSpPr>
      <xdr:spPr>
        <a:xfrm>
          <a:off x="1480947" y="1428607"/>
          <a:ext cx="24506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High</a:t>
          </a:r>
        </a:p>
      </xdr:txBody>
    </xdr:sp>
    <xdr:clientData/>
  </xdr:oneCellAnchor>
  <xdr:twoCellAnchor editAs="oneCell">
    <xdr:from>
      <xdr:col>3</xdr:col>
      <xdr:colOff>127</xdr:colOff>
      <xdr:row>3</xdr:row>
      <xdr:rowOff>90170</xdr:rowOff>
    </xdr:from>
    <xdr:to>
      <xdr:col>3</xdr:col>
      <xdr:colOff>190627</xdr:colOff>
      <xdr:row>4</xdr:row>
      <xdr:rowOff>90170</xdr:rowOff>
    </xdr:to>
    <xdr:sp macro="_xll.PtreeEvent_ObjectClick" textlink="">
      <xdr:nvSpPr>
        <xdr:cNvPr id="118" name="PTObj_DNode_2_3">
          <a:extLst>
            <a:ext uri="{FF2B5EF4-FFF2-40B4-BE49-F238E27FC236}">
              <a16:creationId xmlns:a16="http://schemas.microsoft.com/office/drawing/2014/main" id="{ED5EB26A-E2F4-48DF-A5E7-79524BFAF088}"/>
            </a:ext>
          </a:extLst>
        </xdr:cNvPr>
        <xdr:cNvSpPr/>
      </xdr:nvSpPr>
      <xdr:spPr>
        <a:xfrm>
          <a:off x="3448177" y="661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3</xdr:row>
      <xdr:rowOff>95107</xdr:rowOff>
    </xdr:from>
    <xdr:ext cx="264944" cy="180627"/>
    <xdr:sp macro="_xll.PtreeEvent_ObjectClick" textlink="">
      <xdr:nvSpPr>
        <xdr:cNvPr id="121" name="PTObj_DBranchName_2_3">
          <a:extLst>
            <a:ext uri="{FF2B5EF4-FFF2-40B4-BE49-F238E27FC236}">
              <a16:creationId xmlns:a16="http://schemas.microsoft.com/office/drawing/2014/main" id="{511236BC-4D09-4A3B-B3D7-77E4FCEFC238}"/>
            </a:ext>
          </a:extLst>
        </xdr:cNvPr>
        <xdr:cNvSpPr txBox="1"/>
      </xdr:nvSpPr>
      <xdr:spPr>
        <a:xfrm>
          <a:off x="2604897" y="666607"/>
          <a:ext cx="26494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War!</a:t>
          </a:r>
        </a:p>
      </xdr:txBody>
    </xdr:sp>
    <xdr:clientData/>
  </xdr:oneCellAnchor>
  <xdr:twoCellAnchor editAs="oneCell">
    <xdr:from>
      <xdr:col>4</xdr:col>
      <xdr:colOff>127</xdr:colOff>
      <xdr:row>1</xdr:row>
      <xdr:rowOff>90170</xdr:rowOff>
    </xdr:from>
    <xdr:to>
      <xdr:col>4</xdr:col>
      <xdr:colOff>190627</xdr:colOff>
      <xdr:row>2</xdr:row>
      <xdr:rowOff>90170</xdr:rowOff>
    </xdr:to>
    <xdr:sp macro="_xll.PtreeEvent_ObjectClick" textlink="">
      <xdr:nvSpPr>
        <xdr:cNvPr id="122" name="PTObj_DNode_2_4">
          <a:extLst>
            <a:ext uri="{FF2B5EF4-FFF2-40B4-BE49-F238E27FC236}">
              <a16:creationId xmlns:a16="http://schemas.microsoft.com/office/drawing/2014/main" id="{93C9E08F-5AD3-41F9-A37C-E2AEA2199B5B}"/>
            </a:ext>
          </a:extLst>
        </xdr:cNvPr>
        <xdr:cNvSpPr/>
      </xdr:nvSpPr>
      <xdr:spPr>
        <a:xfrm rot="-5400000">
          <a:off x="4734052" y="280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1</xdr:row>
      <xdr:rowOff>95107</xdr:rowOff>
    </xdr:from>
    <xdr:ext cx="424090" cy="180627"/>
    <xdr:sp macro="_xll.PtreeEvent_ObjectClick" textlink="">
      <xdr:nvSpPr>
        <xdr:cNvPr id="125" name="PTObj_DBranchName_2_4">
          <a:extLst>
            <a:ext uri="{FF2B5EF4-FFF2-40B4-BE49-F238E27FC236}">
              <a16:creationId xmlns:a16="http://schemas.microsoft.com/office/drawing/2014/main" id="{A293BA28-D2D0-4377-9E5B-9DE1EE9C16EA}"/>
            </a:ext>
          </a:extLst>
        </xdr:cNvPr>
        <xdr:cNvSpPr txBox="1"/>
      </xdr:nvSpPr>
      <xdr:spPr>
        <a:xfrm>
          <a:off x="3728847" y="285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4</xdr:col>
      <xdr:colOff>127</xdr:colOff>
      <xdr:row>5</xdr:row>
      <xdr:rowOff>90170</xdr:rowOff>
    </xdr:from>
    <xdr:to>
      <xdr:col>4</xdr:col>
      <xdr:colOff>190627</xdr:colOff>
      <xdr:row>6</xdr:row>
      <xdr:rowOff>90170</xdr:rowOff>
    </xdr:to>
    <xdr:sp macro="_xll.PtreeEvent_ObjectClick" textlink="">
      <xdr:nvSpPr>
        <xdr:cNvPr id="126" name="PTObj_DNode_2_5">
          <a:extLst>
            <a:ext uri="{FF2B5EF4-FFF2-40B4-BE49-F238E27FC236}">
              <a16:creationId xmlns:a16="http://schemas.microsoft.com/office/drawing/2014/main" id="{3457FB9B-FC64-4FCB-9418-51E23DBC43DB}"/>
            </a:ext>
          </a:extLst>
        </xdr:cNvPr>
        <xdr:cNvSpPr/>
      </xdr:nvSpPr>
      <xdr:spPr>
        <a:xfrm rot="-5400000">
          <a:off x="4734052" y="1042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5</xdr:row>
      <xdr:rowOff>95107</xdr:rowOff>
    </xdr:from>
    <xdr:ext cx="195951" cy="180627"/>
    <xdr:sp macro="_xll.PtreeEvent_ObjectClick" textlink="">
      <xdr:nvSpPr>
        <xdr:cNvPr id="129" name="PTObj_DBranchName_2_5">
          <a:extLst>
            <a:ext uri="{FF2B5EF4-FFF2-40B4-BE49-F238E27FC236}">
              <a16:creationId xmlns:a16="http://schemas.microsoft.com/office/drawing/2014/main" id="{23F6834C-A4D3-4DDF-BC49-2B4C3EE70D88}"/>
            </a:ext>
          </a:extLst>
        </xdr:cNvPr>
        <xdr:cNvSpPr txBox="1"/>
      </xdr:nvSpPr>
      <xdr:spPr>
        <a:xfrm>
          <a:off x="3728847" y="1047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3</xdr:col>
      <xdr:colOff>127</xdr:colOff>
      <xdr:row>11</xdr:row>
      <xdr:rowOff>90170</xdr:rowOff>
    </xdr:from>
    <xdr:to>
      <xdr:col>3</xdr:col>
      <xdr:colOff>190627</xdr:colOff>
      <xdr:row>12</xdr:row>
      <xdr:rowOff>90170</xdr:rowOff>
    </xdr:to>
    <xdr:sp macro="_xll.PtreeEvent_ObjectClick" textlink="">
      <xdr:nvSpPr>
        <xdr:cNvPr id="130" name="PTObj_DNode_2_6">
          <a:extLst>
            <a:ext uri="{FF2B5EF4-FFF2-40B4-BE49-F238E27FC236}">
              <a16:creationId xmlns:a16="http://schemas.microsoft.com/office/drawing/2014/main" id="{1B4A247E-6A4B-4C1A-A846-9176D7FED9AD}"/>
            </a:ext>
          </a:extLst>
        </xdr:cNvPr>
        <xdr:cNvSpPr/>
      </xdr:nvSpPr>
      <xdr:spPr>
        <a:xfrm>
          <a:off x="3448177" y="2185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11</xdr:row>
      <xdr:rowOff>95107</xdr:rowOff>
    </xdr:from>
    <xdr:ext cx="303032" cy="180627"/>
    <xdr:sp macro="_xll.PtreeEvent_ObjectClick" textlink="">
      <xdr:nvSpPr>
        <xdr:cNvPr id="133" name="PTObj_DBranchName_2_6">
          <a:extLst>
            <a:ext uri="{FF2B5EF4-FFF2-40B4-BE49-F238E27FC236}">
              <a16:creationId xmlns:a16="http://schemas.microsoft.com/office/drawing/2014/main" id="{EBA011AF-3D0F-419B-9B19-6FD2F580B531}"/>
            </a:ext>
          </a:extLst>
        </xdr:cNvPr>
        <xdr:cNvSpPr txBox="1"/>
      </xdr:nvSpPr>
      <xdr:spPr>
        <a:xfrm>
          <a:off x="2604897" y="2190607"/>
          <a:ext cx="30303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Peace</a:t>
          </a:r>
        </a:p>
      </xdr:txBody>
    </xdr:sp>
    <xdr:clientData/>
  </xdr:oneCellAnchor>
  <xdr:twoCellAnchor editAs="oneCell">
    <xdr:from>
      <xdr:col>4</xdr:col>
      <xdr:colOff>127</xdr:colOff>
      <xdr:row>9</xdr:row>
      <xdr:rowOff>90170</xdr:rowOff>
    </xdr:from>
    <xdr:to>
      <xdr:col>4</xdr:col>
      <xdr:colOff>190627</xdr:colOff>
      <xdr:row>10</xdr:row>
      <xdr:rowOff>90170</xdr:rowOff>
    </xdr:to>
    <xdr:sp macro="_xll.PtreeEvent_ObjectClick" textlink="">
      <xdr:nvSpPr>
        <xdr:cNvPr id="134" name="PTObj_DNode_2_7">
          <a:extLst>
            <a:ext uri="{FF2B5EF4-FFF2-40B4-BE49-F238E27FC236}">
              <a16:creationId xmlns:a16="http://schemas.microsoft.com/office/drawing/2014/main" id="{7021A434-B09D-4B98-86F9-B7E270506783}"/>
            </a:ext>
          </a:extLst>
        </xdr:cNvPr>
        <xdr:cNvSpPr/>
      </xdr:nvSpPr>
      <xdr:spPr>
        <a:xfrm rot="-5400000">
          <a:off x="4753102" y="1804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9</xdr:row>
      <xdr:rowOff>95107</xdr:rowOff>
    </xdr:from>
    <xdr:ext cx="424090" cy="180627"/>
    <xdr:sp macro="_xll.PtreeEvent_ObjectClick" textlink="">
      <xdr:nvSpPr>
        <xdr:cNvPr id="137" name="PTObj_DBranchName_2_7">
          <a:extLst>
            <a:ext uri="{FF2B5EF4-FFF2-40B4-BE49-F238E27FC236}">
              <a16:creationId xmlns:a16="http://schemas.microsoft.com/office/drawing/2014/main" id="{7DC3355D-3EAC-48E9-9C90-BBAD76D5A5D3}"/>
            </a:ext>
          </a:extLst>
        </xdr:cNvPr>
        <xdr:cNvSpPr txBox="1"/>
      </xdr:nvSpPr>
      <xdr:spPr>
        <a:xfrm>
          <a:off x="3747897" y="1809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4</xdr:col>
      <xdr:colOff>127</xdr:colOff>
      <xdr:row>13</xdr:row>
      <xdr:rowOff>90170</xdr:rowOff>
    </xdr:from>
    <xdr:to>
      <xdr:col>4</xdr:col>
      <xdr:colOff>190627</xdr:colOff>
      <xdr:row>14</xdr:row>
      <xdr:rowOff>90170</xdr:rowOff>
    </xdr:to>
    <xdr:sp macro="_xll.PtreeEvent_ObjectClick" textlink="">
      <xdr:nvSpPr>
        <xdr:cNvPr id="138" name="PTObj_DNode_2_8">
          <a:extLst>
            <a:ext uri="{FF2B5EF4-FFF2-40B4-BE49-F238E27FC236}">
              <a16:creationId xmlns:a16="http://schemas.microsoft.com/office/drawing/2014/main" id="{233D8974-5EF8-411A-B5BE-36A777C2604E}"/>
            </a:ext>
          </a:extLst>
        </xdr:cNvPr>
        <xdr:cNvSpPr/>
      </xdr:nvSpPr>
      <xdr:spPr>
        <a:xfrm rot="-5400000">
          <a:off x="4753102" y="2566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13</xdr:row>
      <xdr:rowOff>95107</xdr:rowOff>
    </xdr:from>
    <xdr:ext cx="195951" cy="180627"/>
    <xdr:sp macro="_xll.PtreeEvent_ObjectClick" textlink="">
      <xdr:nvSpPr>
        <xdr:cNvPr id="141" name="PTObj_DBranchName_2_8">
          <a:extLst>
            <a:ext uri="{FF2B5EF4-FFF2-40B4-BE49-F238E27FC236}">
              <a16:creationId xmlns:a16="http://schemas.microsoft.com/office/drawing/2014/main" id="{E749F2F0-BC60-450A-BE67-2B1B6819B634}"/>
            </a:ext>
          </a:extLst>
        </xdr:cNvPr>
        <xdr:cNvSpPr txBox="1"/>
      </xdr:nvSpPr>
      <xdr:spPr>
        <a:xfrm>
          <a:off x="3747897" y="2571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2</xdr:col>
      <xdr:colOff>127</xdr:colOff>
      <xdr:row>23</xdr:row>
      <xdr:rowOff>90170</xdr:rowOff>
    </xdr:from>
    <xdr:to>
      <xdr:col>2</xdr:col>
      <xdr:colOff>190627</xdr:colOff>
      <xdr:row>24</xdr:row>
      <xdr:rowOff>90170</xdr:rowOff>
    </xdr:to>
    <xdr:sp macro="_xll.PtreeEvent_ObjectClick" textlink="">
      <xdr:nvSpPr>
        <xdr:cNvPr id="142" name="PTObj_DNode_2_9">
          <a:extLst>
            <a:ext uri="{FF2B5EF4-FFF2-40B4-BE49-F238E27FC236}">
              <a16:creationId xmlns:a16="http://schemas.microsoft.com/office/drawing/2014/main" id="{CFF6E48E-AB7A-4022-A25A-363840A5C4D7}"/>
            </a:ext>
          </a:extLst>
        </xdr:cNvPr>
        <xdr:cNvSpPr/>
      </xdr:nvSpPr>
      <xdr:spPr>
        <a:xfrm>
          <a:off x="2324227" y="4471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280797</xdr:colOff>
      <xdr:row>23</xdr:row>
      <xdr:rowOff>95107</xdr:rowOff>
    </xdr:from>
    <xdr:ext cx="226023" cy="180627"/>
    <xdr:sp macro="_xll.PtreeEvent_ObjectClick" textlink="">
      <xdr:nvSpPr>
        <xdr:cNvPr id="145" name="PTObj_DBranchName_2_9">
          <a:extLst>
            <a:ext uri="{FF2B5EF4-FFF2-40B4-BE49-F238E27FC236}">
              <a16:creationId xmlns:a16="http://schemas.microsoft.com/office/drawing/2014/main" id="{8290C6E2-4C41-48AB-9139-DE514AD27135}"/>
            </a:ext>
          </a:extLst>
        </xdr:cNvPr>
        <xdr:cNvSpPr txBox="1"/>
      </xdr:nvSpPr>
      <xdr:spPr>
        <a:xfrm>
          <a:off x="1480947" y="4476607"/>
          <a:ext cx="22602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Low</a:t>
          </a:r>
        </a:p>
      </xdr:txBody>
    </xdr:sp>
    <xdr:clientData/>
  </xdr:oneCellAnchor>
  <xdr:twoCellAnchor editAs="oneCell">
    <xdr:from>
      <xdr:col>3</xdr:col>
      <xdr:colOff>127</xdr:colOff>
      <xdr:row>19</xdr:row>
      <xdr:rowOff>90170</xdr:rowOff>
    </xdr:from>
    <xdr:to>
      <xdr:col>3</xdr:col>
      <xdr:colOff>190627</xdr:colOff>
      <xdr:row>20</xdr:row>
      <xdr:rowOff>90170</xdr:rowOff>
    </xdr:to>
    <xdr:sp macro="_xll.PtreeEvent_ObjectClick" textlink="">
      <xdr:nvSpPr>
        <xdr:cNvPr id="146" name="PTObj_DNode_2_10">
          <a:extLst>
            <a:ext uri="{FF2B5EF4-FFF2-40B4-BE49-F238E27FC236}">
              <a16:creationId xmlns:a16="http://schemas.microsoft.com/office/drawing/2014/main" id="{2DE8887C-4F49-4AF1-A934-4323F9D59E42}"/>
            </a:ext>
          </a:extLst>
        </xdr:cNvPr>
        <xdr:cNvSpPr/>
      </xdr:nvSpPr>
      <xdr:spPr>
        <a:xfrm>
          <a:off x="3467227" y="3709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19</xdr:row>
      <xdr:rowOff>95107</xdr:rowOff>
    </xdr:from>
    <xdr:ext cx="264944" cy="180627"/>
    <xdr:sp macro="_xll.PtreeEvent_ObjectClick" textlink="">
      <xdr:nvSpPr>
        <xdr:cNvPr id="149" name="PTObj_DBranchName_2_10">
          <a:extLst>
            <a:ext uri="{FF2B5EF4-FFF2-40B4-BE49-F238E27FC236}">
              <a16:creationId xmlns:a16="http://schemas.microsoft.com/office/drawing/2014/main" id="{F8AA52D6-D726-477A-8044-9757AB0A55AD}"/>
            </a:ext>
          </a:extLst>
        </xdr:cNvPr>
        <xdr:cNvSpPr txBox="1"/>
      </xdr:nvSpPr>
      <xdr:spPr>
        <a:xfrm>
          <a:off x="2604897" y="3714607"/>
          <a:ext cx="26494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War!</a:t>
          </a:r>
        </a:p>
      </xdr:txBody>
    </xdr:sp>
    <xdr:clientData/>
  </xdr:oneCellAnchor>
  <xdr:twoCellAnchor editAs="oneCell">
    <xdr:from>
      <xdr:col>4</xdr:col>
      <xdr:colOff>127</xdr:colOff>
      <xdr:row>17</xdr:row>
      <xdr:rowOff>90170</xdr:rowOff>
    </xdr:from>
    <xdr:to>
      <xdr:col>4</xdr:col>
      <xdr:colOff>190627</xdr:colOff>
      <xdr:row>18</xdr:row>
      <xdr:rowOff>90170</xdr:rowOff>
    </xdr:to>
    <xdr:sp macro="_xll.PtreeEvent_ObjectClick" textlink="">
      <xdr:nvSpPr>
        <xdr:cNvPr id="150" name="PTObj_DNode_2_11">
          <a:extLst>
            <a:ext uri="{FF2B5EF4-FFF2-40B4-BE49-F238E27FC236}">
              <a16:creationId xmlns:a16="http://schemas.microsoft.com/office/drawing/2014/main" id="{00275612-291F-4ADE-9FA4-0472D837572B}"/>
            </a:ext>
          </a:extLst>
        </xdr:cNvPr>
        <xdr:cNvSpPr/>
      </xdr:nvSpPr>
      <xdr:spPr>
        <a:xfrm rot="-5400000">
          <a:off x="4753102" y="3328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17</xdr:row>
      <xdr:rowOff>95107</xdr:rowOff>
    </xdr:from>
    <xdr:ext cx="424090" cy="180627"/>
    <xdr:sp macro="_xll.PtreeEvent_ObjectClick" textlink="">
      <xdr:nvSpPr>
        <xdr:cNvPr id="153" name="PTObj_DBranchName_2_11">
          <a:extLst>
            <a:ext uri="{FF2B5EF4-FFF2-40B4-BE49-F238E27FC236}">
              <a16:creationId xmlns:a16="http://schemas.microsoft.com/office/drawing/2014/main" id="{B66ED74E-482F-481C-9552-62401F1069F6}"/>
            </a:ext>
          </a:extLst>
        </xdr:cNvPr>
        <xdr:cNvSpPr txBox="1"/>
      </xdr:nvSpPr>
      <xdr:spPr>
        <a:xfrm>
          <a:off x="3747897" y="3333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4</xdr:col>
      <xdr:colOff>127</xdr:colOff>
      <xdr:row>21</xdr:row>
      <xdr:rowOff>90170</xdr:rowOff>
    </xdr:from>
    <xdr:to>
      <xdr:col>4</xdr:col>
      <xdr:colOff>190627</xdr:colOff>
      <xdr:row>22</xdr:row>
      <xdr:rowOff>90170</xdr:rowOff>
    </xdr:to>
    <xdr:sp macro="_xll.PtreeEvent_ObjectClick" textlink="">
      <xdr:nvSpPr>
        <xdr:cNvPr id="154" name="PTObj_DNode_2_12">
          <a:extLst>
            <a:ext uri="{FF2B5EF4-FFF2-40B4-BE49-F238E27FC236}">
              <a16:creationId xmlns:a16="http://schemas.microsoft.com/office/drawing/2014/main" id="{A7173577-D402-4B94-B79B-F474F8E53BFC}"/>
            </a:ext>
          </a:extLst>
        </xdr:cNvPr>
        <xdr:cNvSpPr/>
      </xdr:nvSpPr>
      <xdr:spPr>
        <a:xfrm rot="-5400000">
          <a:off x="4753102" y="4090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21</xdr:row>
      <xdr:rowOff>95107</xdr:rowOff>
    </xdr:from>
    <xdr:ext cx="195951" cy="180627"/>
    <xdr:sp macro="_xll.PtreeEvent_ObjectClick" textlink="">
      <xdr:nvSpPr>
        <xdr:cNvPr id="157" name="PTObj_DBranchName_2_12">
          <a:extLst>
            <a:ext uri="{FF2B5EF4-FFF2-40B4-BE49-F238E27FC236}">
              <a16:creationId xmlns:a16="http://schemas.microsoft.com/office/drawing/2014/main" id="{32C2955C-03E2-49C9-85F9-CCB096F4B93E}"/>
            </a:ext>
          </a:extLst>
        </xdr:cNvPr>
        <xdr:cNvSpPr txBox="1"/>
      </xdr:nvSpPr>
      <xdr:spPr>
        <a:xfrm>
          <a:off x="3747897" y="4095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  <xdr:twoCellAnchor editAs="oneCell">
    <xdr:from>
      <xdr:col>3</xdr:col>
      <xdr:colOff>127</xdr:colOff>
      <xdr:row>27</xdr:row>
      <xdr:rowOff>90170</xdr:rowOff>
    </xdr:from>
    <xdr:to>
      <xdr:col>3</xdr:col>
      <xdr:colOff>190627</xdr:colOff>
      <xdr:row>28</xdr:row>
      <xdr:rowOff>90170</xdr:rowOff>
    </xdr:to>
    <xdr:sp macro="_xll.PtreeEvent_ObjectClick" textlink="">
      <xdr:nvSpPr>
        <xdr:cNvPr id="158" name="PTObj_DNode_2_13">
          <a:extLst>
            <a:ext uri="{FF2B5EF4-FFF2-40B4-BE49-F238E27FC236}">
              <a16:creationId xmlns:a16="http://schemas.microsoft.com/office/drawing/2014/main" id="{F7A0E7D0-E67F-433B-A0F5-53AED870EC68}"/>
            </a:ext>
          </a:extLst>
        </xdr:cNvPr>
        <xdr:cNvSpPr/>
      </xdr:nvSpPr>
      <xdr:spPr>
        <a:xfrm>
          <a:off x="3467227" y="5233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27</xdr:row>
      <xdr:rowOff>95107</xdr:rowOff>
    </xdr:from>
    <xdr:ext cx="303032" cy="180627"/>
    <xdr:sp macro="_xll.PtreeEvent_ObjectClick" textlink="">
      <xdr:nvSpPr>
        <xdr:cNvPr id="161" name="PTObj_DBranchName_2_13">
          <a:extLst>
            <a:ext uri="{FF2B5EF4-FFF2-40B4-BE49-F238E27FC236}">
              <a16:creationId xmlns:a16="http://schemas.microsoft.com/office/drawing/2014/main" id="{EDFD38AC-88E0-4BE8-B55B-79EA9C7BCED1}"/>
            </a:ext>
          </a:extLst>
        </xdr:cNvPr>
        <xdr:cNvSpPr txBox="1"/>
      </xdr:nvSpPr>
      <xdr:spPr>
        <a:xfrm>
          <a:off x="2604897" y="5238607"/>
          <a:ext cx="303032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Peace</a:t>
          </a:r>
        </a:p>
      </xdr:txBody>
    </xdr:sp>
    <xdr:clientData/>
  </xdr:oneCellAnchor>
  <xdr:twoCellAnchor editAs="oneCell">
    <xdr:from>
      <xdr:col>4</xdr:col>
      <xdr:colOff>127</xdr:colOff>
      <xdr:row>25</xdr:row>
      <xdr:rowOff>90170</xdr:rowOff>
    </xdr:from>
    <xdr:to>
      <xdr:col>4</xdr:col>
      <xdr:colOff>190627</xdr:colOff>
      <xdr:row>26</xdr:row>
      <xdr:rowOff>90170</xdr:rowOff>
    </xdr:to>
    <xdr:sp macro="_xll.PtreeEvent_ObjectClick" textlink="">
      <xdr:nvSpPr>
        <xdr:cNvPr id="162" name="PTObj_DNode_2_14">
          <a:extLst>
            <a:ext uri="{FF2B5EF4-FFF2-40B4-BE49-F238E27FC236}">
              <a16:creationId xmlns:a16="http://schemas.microsoft.com/office/drawing/2014/main" id="{A02DB912-6352-4CF0-B6DF-E11C744EF47D}"/>
            </a:ext>
          </a:extLst>
        </xdr:cNvPr>
        <xdr:cNvSpPr/>
      </xdr:nvSpPr>
      <xdr:spPr>
        <a:xfrm rot="-5400000">
          <a:off x="4753102" y="4852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25</xdr:row>
      <xdr:rowOff>95107</xdr:rowOff>
    </xdr:from>
    <xdr:ext cx="424090" cy="180627"/>
    <xdr:sp macro="_xll.PtreeEvent_ObjectClick" textlink="">
      <xdr:nvSpPr>
        <xdr:cNvPr id="165" name="PTObj_DBranchName_2_14">
          <a:extLst>
            <a:ext uri="{FF2B5EF4-FFF2-40B4-BE49-F238E27FC236}">
              <a16:creationId xmlns:a16="http://schemas.microsoft.com/office/drawing/2014/main" id="{4B31C4CD-CE4A-4247-8A93-C21EDCC1E649}"/>
            </a:ext>
          </a:extLst>
        </xdr:cNvPr>
        <xdr:cNvSpPr txBox="1"/>
      </xdr:nvSpPr>
      <xdr:spPr>
        <a:xfrm>
          <a:off x="3747897" y="4857607"/>
          <a:ext cx="42409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Innovate</a:t>
          </a:r>
        </a:p>
      </xdr:txBody>
    </xdr:sp>
    <xdr:clientData/>
  </xdr:oneCellAnchor>
  <xdr:twoCellAnchor editAs="oneCell">
    <xdr:from>
      <xdr:col>4</xdr:col>
      <xdr:colOff>127</xdr:colOff>
      <xdr:row>29</xdr:row>
      <xdr:rowOff>90170</xdr:rowOff>
    </xdr:from>
    <xdr:to>
      <xdr:col>4</xdr:col>
      <xdr:colOff>190627</xdr:colOff>
      <xdr:row>30</xdr:row>
      <xdr:rowOff>90170</xdr:rowOff>
    </xdr:to>
    <xdr:sp macro="_xll.PtreeEvent_ObjectClick" textlink="">
      <xdr:nvSpPr>
        <xdr:cNvPr id="166" name="PTObj_DNode_2_15">
          <a:extLst>
            <a:ext uri="{FF2B5EF4-FFF2-40B4-BE49-F238E27FC236}">
              <a16:creationId xmlns:a16="http://schemas.microsoft.com/office/drawing/2014/main" id="{D2092181-EDD3-4F4C-9B9B-D090ADB7BBDE}"/>
            </a:ext>
          </a:extLst>
        </xdr:cNvPr>
        <xdr:cNvSpPr/>
      </xdr:nvSpPr>
      <xdr:spPr>
        <a:xfrm rot="-5400000">
          <a:off x="4753102" y="5614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280797</xdr:colOff>
      <xdr:row>29</xdr:row>
      <xdr:rowOff>95107</xdr:rowOff>
    </xdr:from>
    <xdr:ext cx="195951" cy="180627"/>
    <xdr:sp macro="_xll.PtreeEvent_ObjectClick" textlink="">
      <xdr:nvSpPr>
        <xdr:cNvPr id="169" name="PTObj_DBranchName_2_15">
          <a:extLst>
            <a:ext uri="{FF2B5EF4-FFF2-40B4-BE49-F238E27FC236}">
              <a16:creationId xmlns:a16="http://schemas.microsoft.com/office/drawing/2014/main" id="{CA3DF28A-78F9-4D42-A0A0-3ABE22B31A47}"/>
            </a:ext>
          </a:extLst>
        </xdr:cNvPr>
        <xdr:cNvSpPr txBox="1"/>
      </xdr:nvSpPr>
      <xdr:spPr>
        <a:xfrm>
          <a:off x="3747897" y="5619607"/>
          <a:ext cx="195951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Lag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558800</xdr:colOff>
      <xdr:row>28</xdr:row>
      <xdr:rowOff>184150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2CC12FD-A9DD-4C97-9A13-6A3E5E7F4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0</xdr:colOff>
      <xdr:row>0</xdr:row>
      <xdr:rowOff>0</xdr:rowOff>
    </xdr:from>
    <xdr:to>
      <xdr:col>18</xdr:col>
      <xdr:colOff>558800</xdr:colOff>
      <xdr:row>28</xdr:row>
      <xdr:rowOff>184150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6CBEE47-ED9A-4832-B0B1-D9F97B3B64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242697</xdr:colOff>
      <xdr:row>13</xdr:row>
      <xdr:rowOff>185420</xdr:rowOff>
    </xdr:from>
    <xdr:to>
      <xdr:col>3</xdr:col>
      <xdr:colOff>127</xdr:colOff>
      <xdr:row>13</xdr:row>
      <xdr:rowOff>185420</xdr:rowOff>
    </xdr:to>
    <xdr:cxnSp macro="_xll.PtreeEvent_ObjectClick">
      <xdr:nvCxnSpPr>
        <xdr:cNvPr id="42" name="PTObj_DBranchHLine_3_7">
          <a:extLst>
            <a:ext uri="{FF2B5EF4-FFF2-40B4-BE49-F238E27FC236}">
              <a16:creationId xmlns:a16="http://schemas.microsoft.com/office/drawing/2014/main" id="{6D830C60-44D5-4866-98F5-70402212E1FC}"/>
            </a:ext>
          </a:extLst>
        </xdr:cNvPr>
        <xdr:cNvCxnSpPr/>
      </xdr:nvCxnSpPr>
      <xdr:spPr>
        <a:xfrm>
          <a:off x="2585847" y="2661920"/>
          <a:ext cx="8432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11</xdr:row>
      <xdr:rowOff>180340</xdr:rowOff>
    </xdr:from>
    <xdr:to>
      <xdr:col>2</xdr:col>
      <xdr:colOff>242697</xdr:colOff>
      <xdr:row>13</xdr:row>
      <xdr:rowOff>185420</xdr:rowOff>
    </xdr:to>
    <xdr:cxnSp macro="_xll.PtreeEvent_ObjectClick">
      <xdr:nvCxnSpPr>
        <xdr:cNvPr id="41" name="PTObj_DBranchDLine_3_7">
          <a:extLst>
            <a:ext uri="{FF2B5EF4-FFF2-40B4-BE49-F238E27FC236}">
              <a16:creationId xmlns:a16="http://schemas.microsoft.com/office/drawing/2014/main" id="{3CC6C42F-362D-430C-A5BF-9503B3870D9A}"/>
            </a:ext>
          </a:extLst>
        </xdr:cNvPr>
        <xdr:cNvCxnSpPr/>
      </xdr:nvCxnSpPr>
      <xdr:spPr>
        <a:xfrm>
          <a:off x="2433447" y="2275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9</xdr:row>
      <xdr:rowOff>185420</xdr:rowOff>
    </xdr:from>
    <xdr:to>
      <xdr:col>3</xdr:col>
      <xdr:colOff>127</xdr:colOff>
      <xdr:row>9</xdr:row>
      <xdr:rowOff>185420</xdr:rowOff>
    </xdr:to>
    <xdr:cxnSp macro="_xll.PtreeEvent_ObjectClick">
      <xdr:nvCxnSpPr>
        <xdr:cNvPr id="38" name="PTObj_DBranchHLine_3_6">
          <a:extLst>
            <a:ext uri="{FF2B5EF4-FFF2-40B4-BE49-F238E27FC236}">
              <a16:creationId xmlns:a16="http://schemas.microsoft.com/office/drawing/2014/main" id="{761293EC-52DA-41DC-9D33-668DBD8B2297}"/>
            </a:ext>
          </a:extLst>
        </xdr:cNvPr>
        <xdr:cNvCxnSpPr/>
      </xdr:nvCxnSpPr>
      <xdr:spPr>
        <a:xfrm>
          <a:off x="2585847" y="1899920"/>
          <a:ext cx="82423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9</xdr:row>
      <xdr:rowOff>185420</xdr:rowOff>
    </xdr:from>
    <xdr:to>
      <xdr:col>2</xdr:col>
      <xdr:colOff>242697</xdr:colOff>
      <xdr:row>11</xdr:row>
      <xdr:rowOff>180340</xdr:rowOff>
    </xdr:to>
    <xdr:cxnSp macro="_xll.PtreeEvent_ObjectClick">
      <xdr:nvCxnSpPr>
        <xdr:cNvPr id="37" name="PTObj_DBranchDLine_3_6">
          <a:extLst>
            <a:ext uri="{FF2B5EF4-FFF2-40B4-BE49-F238E27FC236}">
              <a16:creationId xmlns:a16="http://schemas.microsoft.com/office/drawing/2014/main" id="{5BEC4471-5BBC-4C30-9F7A-17ECE3E4CD41}"/>
            </a:ext>
          </a:extLst>
        </xdr:cNvPr>
        <xdr:cNvCxnSpPr/>
      </xdr:nvCxnSpPr>
      <xdr:spPr>
        <a:xfrm flipV="1">
          <a:off x="2433447" y="1899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242697</xdr:colOff>
      <xdr:row>11</xdr:row>
      <xdr:rowOff>185420</xdr:rowOff>
    </xdr:from>
    <xdr:to>
      <xdr:col>2</xdr:col>
      <xdr:colOff>127</xdr:colOff>
      <xdr:row>11</xdr:row>
      <xdr:rowOff>185420</xdr:rowOff>
    </xdr:to>
    <xdr:cxnSp macro="_xll.PtreeEvent_ObjectClick">
      <xdr:nvCxnSpPr>
        <xdr:cNvPr id="34" name="PTObj_DBranchHLine_3_3">
          <a:extLst>
            <a:ext uri="{FF2B5EF4-FFF2-40B4-BE49-F238E27FC236}">
              <a16:creationId xmlns:a16="http://schemas.microsoft.com/office/drawing/2014/main" id="{189504D9-3D7E-4851-B98C-F0DB081D850A}"/>
            </a:ext>
          </a:extLst>
        </xdr:cNvPr>
        <xdr:cNvCxnSpPr/>
      </xdr:nvCxnSpPr>
      <xdr:spPr>
        <a:xfrm>
          <a:off x="1414272" y="2280920"/>
          <a:ext cx="9194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90297</xdr:colOff>
      <xdr:row>7</xdr:row>
      <xdr:rowOff>180340</xdr:rowOff>
    </xdr:from>
    <xdr:to>
      <xdr:col>1</xdr:col>
      <xdr:colOff>242697</xdr:colOff>
      <xdr:row>11</xdr:row>
      <xdr:rowOff>185420</xdr:rowOff>
    </xdr:to>
    <xdr:cxnSp macro="_xll.PtreeEvent_ObjectClick">
      <xdr:nvCxnSpPr>
        <xdr:cNvPr id="33" name="PTObj_DBranchDLine_3_3">
          <a:extLst>
            <a:ext uri="{FF2B5EF4-FFF2-40B4-BE49-F238E27FC236}">
              <a16:creationId xmlns:a16="http://schemas.microsoft.com/office/drawing/2014/main" id="{BDB9437F-308C-495D-AE40-52D236E4307B}"/>
            </a:ext>
          </a:extLst>
        </xdr:cNvPr>
        <xdr:cNvCxnSpPr/>
      </xdr:nvCxnSpPr>
      <xdr:spPr>
        <a:xfrm>
          <a:off x="1261872" y="1513840"/>
          <a:ext cx="152400" cy="767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5</xdr:row>
      <xdr:rowOff>185420</xdr:rowOff>
    </xdr:from>
    <xdr:to>
      <xdr:col>3</xdr:col>
      <xdr:colOff>127</xdr:colOff>
      <xdr:row>5</xdr:row>
      <xdr:rowOff>185420</xdr:rowOff>
    </xdr:to>
    <xdr:cxnSp macro="_xll.PtreeEvent_ObjectClick">
      <xdr:nvCxnSpPr>
        <xdr:cNvPr id="26" name="PTObj_DBranchHLine_3_5">
          <a:extLst>
            <a:ext uri="{FF2B5EF4-FFF2-40B4-BE49-F238E27FC236}">
              <a16:creationId xmlns:a16="http://schemas.microsoft.com/office/drawing/2014/main" id="{C6382678-F3E7-4763-A460-1EA9E4E9E703}"/>
            </a:ext>
          </a:extLst>
        </xdr:cNvPr>
        <xdr:cNvCxnSpPr/>
      </xdr:nvCxnSpPr>
      <xdr:spPr>
        <a:xfrm>
          <a:off x="2947797" y="1137920"/>
          <a:ext cx="1148080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3</xdr:row>
      <xdr:rowOff>180340</xdr:rowOff>
    </xdr:from>
    <xdr:to>
      <xdr:col>2</xdr:col>
      <xdr:colOff>242697</xdr:colOff>
      <xdr:row>5</xdr:row>
      <xdr:rowOff>185420</xdr:rowOff>
    </xdr:to>
    <xdr:cxnSp macro="_xll.PtreeEvent_ObjectClick">
      <xdr:nvCxnSpPr>
        <xdr:cNvPr id="25" name="PTObj_DBranchDLine_3_5">
          <a:extLst>
            <a:ext uri="{FF2B5EF4-FFF2-40B4-BE49-F238E27FC236}">
              <a16:creationId xmlns:a16="http://schemas.microsoft.com/office/drawing/2014/main" id="{38078C06-7210-4B03-874A-BC546256FCF0}"/>
            </a:ext>
          </a:extLst>
        </xdr:cNvPr>
        <xdr:cNvCxnSpPr/>
      </xdr:nvCxnSpPr>
      <xdr:spPr>
        <a:xfrm>
          <a:off x="2795397" y="751840"/>
          <a:ext cx="152400" cy="38608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242697</xdr:colOff>
      <xdr:row>1</xdr:row>
      <xdr:rowOff>185420</xdr:rowOff>
    </xdr:from>
    <xdr:to>
      <xdr:col>3</xdr:col>
      <xdr:colOff>127</xdr:colOff>
      <xdr:row>1</xdr:row>
      <xdr:rowOff>185420</xdr:rowOff>
    </xdr:to>
    <xdr:cxnSp macro="_xll.PtreeEvent_ObjectClick">
      <xdr:nvCxnSpPr>
        <xdr:cNvPr id="22" name="PTObj_DBranchHLine_3_4">
          <a:extLst>
            <a:ext uri="{FF2B5EF4-FFF2-40B4-BE49-F238E27FC236}">
              <a16:creationId xmlns:a16="http://schemas.microsoft.com/office/drawing/2014/main" id="{FDB1D666-ABC8-4812-9FA8-BBF84B3B0B1B}"/>
            </a:ext>
          </a:extLst>
        </xdr:cNvPr>
        <xdr:cNvCxnSpPr/>
      </xdr:nvCxnSpPr>
      <xdr:spPr>
        <a:xfrm>
          <a:off x="2947797" y="375920"/>
          <a:ext cx="8718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90297</xdr:colOff>
      <xdr:row>1</xdr:row>
      <xdr:rowOff>185420</xdr:rowOff>
    </xdr:from>
    <xdr:to>
      <xdr:col>2</xdr:col>
      <xdr:colOff>242697</xdr:colOff>
      <xdr:row>3</xdr:row>
      <xdr:rowOff>180340</xdr:rowOff>
    </xdr:to>
    <xdr:cxnSp macro="_xll.PtreeEvent_ObjectClick">
      <xdr:nvCxnSpPr>
        <xdr:cNvPr id="21" name="PTObj_DBranchDLine_3_4">
          <a:extLst>
            <a:ext uri="{FF2B5EF4-FFF2-40B4-BE49-F238E27FC236}">
              <a16:creationId xmlns:a16="http://schemas.microsoft.com/office/drawing/2014/main" id="{F9CA292F-7FC3-42C4-BA43-EFCB92C1DAAB}"/>
            </a:ext>
          </a:extLst>
        </xdr:cNvPr>
        <xdr:cNvCxnSpPr/>
      </xdr:nvCxnSpPr>
      <xdr:spPr>
        <a:xfrm flipV="1">
          <a:off x="2795397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242697</xdr:colOff>
      <xdr:row>3</xdr:row>
      <xdr:rowOff>185420</xdr:rowOff>
    </xdr:from>
    <xdr:to>
      <xdr:col>2</xdr:col>
      <xdr:colOff>127</xdr:colOff>
      <xdr:row>3</xdr:row>
      <xdr:rowOff>185420</xdr:rowOff>
    </xdr:to>
    <xdr:cxnSp macro="_xll.PtreeEvent_ObjectClick">
      <xdr:nvCxnSpPr>
        <xdr:cNvPr id="18" name="PTObj_DBranchHLine_3_2">
          <a:extLst>
            <a:ext uri="{FF2B5EF4-FFF2-40B4-BE49-F238E27FC236}">
              <a16:creationId xmlns:a16="http://schemas.microsoft.com/office/drawing/2014/main" id="{D61BB06C-F4EB-43C9-8112-41CE05902A3A}"/>
            </a:ext>
          </a:extLst>
        </xdr:cNvPr>
        <xdr:cNvCxnSpPr/>
      </xdr:nvCxnSpPr>
      <xdr:spPr>
        <a:xfrm>
          <a:off x="1414272" y="375920"/>
          <a:ext cx="1290955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90297</xdr:colOff>
      <xdr:row>3</xdr:row>
      <xdr:rowOff>185420</xdr:rowOff>
    </xdr:from>
    <xdr:to>
      <xdr:col>1</xdr:col>
      <xdr:colOff>242697</xdr:colOff>
      <xdr:row>7</xdr:row>
      <xdr:rowOff>180340</xdr:rowOff>
    </xdr:to>
    <xdr:cxnSp macro="_xll.PtreeEvent_ObjectClick">
      <xdr:nvCxnSpPr>
        <xdr:cNvPr id="17" name="PTObj_DBranchDLine_3_2">
          <a:extLst>
            <a:ext uri="{FF2B5EF4-FFF2-40B4-BE49-F238E27FC236}">
              <a16:creationId xmlns:a16="http://schemas.microsoft.com/office/drawing/2014/main" id="{7E63E1F2-C94E-4EC3-8EF7-119B5067D8C8}"/>
            </a:ext>
          </a:extLst>
        </xdr:cNvPr>
        <xdr:cNvCxnSpPr/>
      </xdr:nvCxnSpPr>
      <xdr:spPr>
        <a:xfrm flipV="1">
          <a:off x="1261872" y="375920"/>
          <a:ext cx="152400" cy="37592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177800</xdr:colOff>
      <xdr:row>7</xdr:row>
      <xdr:rowOff>185420</xdr:rowOff>
    </xdr:from>
    <xdr:to>
      <xdr:col>1</xdr:col>
      <xdr:colOff>127</xdr:colOff>
      <xdr:row>7</xdr:row>
      <xdr:rowOff>185420</xdr:rowOff>
    </xdr:to>
    <xdr:cxnSp macro="_xll.PtreeEvent_ObjectClick">
      <xdr:nvCxnSpPr>
        <xdr:cNvPr id="6" name="PTObj_DBranchHLine_3_1">
          <a:extLst>
            <a:ext uri="{FF2B5EF4-FFF2-40B4-BE49-F238E27FC236}">
              <a16:creationId xmlns:a16="http://schemas.microsoft.com/office/drawing/2014/main" id="{8C98972B-5AA7-4831-AD1E-B999A6C6953F}"/>
            </a:ext>
          </a:extLst>
        </xdr:cNvPr>
        <xdr:cNvCxnSpPr/>
      </xdr:nvCxnSpPr>
      <xdr:spPr>
        <a:xfrm>
          <a:off x="177800" y="375920"/>
          <a:ext cx="993902" cy="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127</xdr:colOff>
      <xdr:row>7</xdr:row>
      <xdr:rowOff>90170</xdr:rowOff>
    </xdr:from>
    <xdr:to>
      <xdr:col>1</xdr:col>
      <xdr:colOff>190627</xdr:colOff>
      <xdr:row>8</xdr:row>
      <xdr:rowOff>90170</xdr:rowOff>
    </xdr:to>
    <xdr:sp macro="_xll.PtreeEvent_ObjectClick" textlink="">
      <xdr:nvSpPr>
        <xdr:cNvPr id="5" name="PTObj_DNode_3_1">
          <a:extLst>
            <a:ext uri="{FF2B5EF4-FFF2-40B4-BE49-F238E27FC236}">
              <a16:creationId xmlns:a16="http://schemas.microsoft.com/office/drawing/2014/main" id="{0BDB8653-4AB5-4A66-8F9A-243F6527AE41}"/>
            </a:ext>
          </a:extLst>
        </xdr:cNvPr>
        <xdr:cNvSpPr/>
      </xdr:nvSpPr>
      <xdr:spPr>
        <a:xfrm>
          <a:off x="1171702" y="280670"/>
          <a:ext cx="190500" cy="190500"/>
        </a:xfrm>
        <a:prstGeom prst="rect">
          <a:avLst/>
        </a:prstGeom>
        <a:solidFill>
          <a:srgbClr val="008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215900</xdr:colOff>
      <xdr:row>7</xdr:row>
      <xdr:rowOff>95107</xdr:rowOff>
    </xdr:from>
    <xdr:ext cx="523670" cy="180627"/>
    <xdr:sp macro="_xll.PtreeEvent_ObjectClick" textlink="">
      <xdr:nvSpPr>
        <xdr:cNvPr id="7" name="PTObj_DBranchName_3_1">
          <a:extLst>
            <a:ext uri="{FF2B5EF4-FFF2-40B4-BE49-F238E27FC236}">
              <a16:creationId xmlns:a16="http://schemas.microsoft.com/office/drawing/2014/main" id="{E53DB199-00E7-43DC-BBD7-D90E8C32A5E5}"/>
            </a:ext>
          </a:extLst>
        </xdr:cNvPr>
        <xdr:cNvSpPr txBox="1"/>
      </xdr:nvSpPr>
      <xdr:spPr>
        <a:xfrm>
          <a:off x="215900" y="285607"/>
          <a:ext cx="523670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F2F Classes</a:t>
          </a:r>
        </a:p>
      </xdr:txBody>
    </xdr:sp>
    <xdr:clientData/>
  </xdr:oneCellAnchor>
  <xdr:twoCellAnchor editAs="oneCell">
    <xdr:from>
      <xdr:col>2</xdr:col>
      <xdr:colOff>127</xdr:colOff>
      <xdr:row>3</xdr:row>
      <xdr:rowOff>90170</xdr:rowOff>
    </xdr:from>
    <xdr:to>
      <xdr:col>2</xdr:col>
      <xdr:colOff>190627</xdr:colOff>
      <xdr:row>4</xdr:row>
      <xdr:rowOff>90170</xdr:rowOff>
    </xdr:to>
    <xdr:sp macro="_xll.PtreeEvent_ObjectClick" textlink="">
      <xdr:nvSpPr>
        <xdr:cNvPr id="16" name="PTObj_DNode_3_2">
          <a:extLst>
            <a:ext uri="{FF2B5EF4-FFF2-40B4-BE49-F238E27FC236}">
              <a16:creationId xmlns:a16="http://schemas.microsoft.com/office/drawing/2014/main" id="{30D127EA-FA24-4206-91AF-281CFC875CD4}"/>
            </a:ext>
          </a:extLst>
        </xdr:cNvPr>
        <xdr:cNvSpPr/>
      </xdr:nvSpPr>
      <xdr:spPr>
        <a:xfrm>
          <a:off x="2705227" y="280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280797</xdr:colOff>
      <xdr:row>3</xdr:row>
      <xdr:rowOff>95107</xdr:rowOff>
    </xdr:from>
    <xdr:ext cx="201657" cy="180627"/>
    <xdr:sp macro="_xll.PtreeEvent_ObjectClick" textlink="">
      <xdr:nvSpPr>
        <xdr:cNvPr id="19" name="PTObj_DBranchName_3_2">
          <a:extLst>
            <a:ext uri="{FF2B5EF4-FFF2-40B4-BE49-F238E27FC236}">
              <a16:creationId xmlns:a16="http://schemas.microsoft.com/office/drawing/2014/main" id="{7EA81F8A-CB87-4684-A0F1-081860779258}"/>
            </a:ext>
          </a:extLst>
        </xdr:cNvPr>
        <xdr:cNvSpPr txBox="1"/>
      </xdr:nvSpPr>
      <xdr:spPr>
        <a:xfrm>
          <a:off x="1452372" y="285607"/>
          <a:ext cx="20165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F2F</a:t>
          </a:r>
        </a:p>
      </xdr:txBody>
    </xdr:sp>
    <xdr:clientData/>
  </xdr:oneCellAnchor>
  <xdr:twoCellAnchor editAs="oneCell">
    <xdr:from>
      <xdr:col>3</xdr:col>
      <xdr:colOff>127</xdr:colOff>
      <xdr:row>1</xdr:row>
      <xdr:rowOff>90170</xdr:rowOff>
    </xdr:from>
    <xdr:to>
      <xdr:col>3</xdr:col>
      <xdr:colOff>190627</xdr:colOff>
      <xdr:row>2</xdr:row>
      <xdr:rowOff>90170</xdr:rowOff>
    </xdr:to>
    <xdr:sp macro="_xll.PtreeEvent_ObjectClick" textlink="">
      <xdr:nvSpPr>
        <xdr:cNvPr id="20" name="PTObj_DNode_3_4">
          <a:extLst>
            <a:ext uri="{FF2B5EF4-FFF2-40B4-BE49-F238E27FC236}">
              <a16:creationId xmlns:a16="http://schemas.microsoft.com/office/drawing/2014/main" id="{F2FCD4E4-5588-42F6-AF01-1AAF5DFD618C}"/>
            </a:ext>
          </a:extLst>
        </xdr:cNvPr>
        <xdr:cNvSpPr/>
      </xdr:nvSpPr>
      <xdr:spPr>
        <a:xfrm rot="-5400000">
          <a:off x="3819652" y="280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1</xdr:row>
      <xdr:rowOff>95107</xdr:rowOff>
    </xdr:from>
    <xdr:ext cx="245067" cy="180627"/>
    <xdr:sp macro="_xll.PtreeEvent_ObjectClick" textlink="">
      <xdr:nvSpPr>
        <xdr:cNvPr id="23" name="PTObj_DBranchName_3_4">
          <a:extLst>
            <a:ext uri="{FF2B5EF4-FFF2-40B4-BE49-F238E27FC236}">
              <a16:creationId xmlns:a16="http://schemas.microsoft.com/office/drawing/2014/main" id="{AEDF5BFE-6C54-46CB-AB68-B89F08C57771}"/>
            </a:ext>
          </a:extLst>
        </xdr:cNvPr>
        <xdr:cNvSpPr txBox="1"/>
      </xdr:nvSpPr>
      <xdr:spPr>
        <a:xfrm>
          <a:off x="2985897" y="285607"/>
          <a:ext cx="24506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High</a:t>
          </a:r>
        </a:p>
      </xdr:txBody>
    </xdr:sp>
    <xdr:clientData/>
  </xdr:oneCellAnchor>
  <xdr:twoCellAnchor editAs="oneCell">
    <xdr:from>
      <xdr:col>3</xdr:col>
      <xdr:colOff>127</xdr:colOff>
      <xdr:row>5</xdr:row>
      <xdr:rowOff>90170</xdr:rowOff>
    </xdr:from>
    <xdr:to>
      <xdr:col>3</xdr:col>
      <xdr:colOff>190627</xdr:colOff>
      <xdr:row>6</xdr:row>
      <xdr:rowOff>90170</xdr:rowOff>
    </xdr:to>
    <xdr:sp macro="_xll.PtreeEvent_ObjectClick" textlink="">
      <xdr:nvSpPr>
        <xdr:cNvPr id="24" name="PTObj_DNode_3_5">
          <a:extLst>
            <a:ext uri="{FF2B5EF4-FFF2-40B4-BE49-F238E27FC236}">
              <a16:creationId xmlns:a16="http://schemas.microsoft.com/office/drawing/2014/main" id="{31DDEB42-2B25-4074-9745-92541D4014ED}"/>
            </a:ext>
          </a:extLst>
        </xdr:cNvPr>
        <xdr:cNvSpPr/>
      </xdr:nvSpPr>
      <xdr:spPr>
        <a:xfrm rot="-5400000">
          <a:off x="4095877" y="1042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5</xdr:row>
      <xdr:rowOff>95107</xdr:rowOff>
    </xdr:from>
    <xdr:ext cx="226024" cy="180627"/>
    <xdr:sp macro="_xll.PtreeEvent_ObjectClick" textlink="">
      <xdr:nvSpPr>
        <xdr:cNvPr id="27" name="PTObj_DBranchName_3_5">
          <a:extLst>
            <a:ext uri="{FF2B5EF4-FFF2-40B4-BE49-F238E27FC236}">
              <a16:creationId xmlns:a16="http://schemas.microsoft.com/office/drawing/2014/main" id="{06EDCCFC-A393-45C8-871A-981D6473639F}"/>
            </a:ext>
          </a:extLst>
        </xdr:cNvPr>
        <xdr:cNvSpPr txBox="1"/>
      </xdr:nvSpPr>
      <xdr:spPr>
        <a:xfrm>
          <a:off x="2985897" y="1047607"/>
          <a:ext cx="226024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Low</a:t>
          </a:r>
        </a:p>
      </xdr:txBody>
    </xdr:sp>
    <xdr:clientData/>
  </xdr:oneCellAnchor>
  <xdr:twoCellAnchor editAs="oneCell">
    <xdr:from>
      <xdr:col>2</xdr:col>
      <xdr:colOff>127</xdr:colOff>
      <xdr:row>11</xdr:row>
      <xdr:rowOff>90170</xdr:rowOff>
    </xdr:from>
    <xdr:to>
      <xdr:col>2</xdr:col>
      <xdr:colOff>190627</xdr:colOff>
      <xdr:row>12</xdr:row>
      <xdr:rowOff>90170</xdr:rowOff>
    </xdr:to>
    <xdr:sp macro="_xll.PtreeEvent_ObjectClick" textlink="">
      <xdr:nvSpPr>
        <xdr:cNvPr id="32" name="PTObj_DNode_3_3">
          <a:extLst>
            <a:ext uri="{FF2B5EF4-FFF2-40B4-BE49-F238E27FC236}">
              <a16:creationId xmlns:a16="http://schemas.microsoft.com/office/drawing/2014/main" id="{14D3FF7D-33E6-4065-B7EF-250502AE134E}"/>
            </a:ext>
          </a:extLst>
        </xdr:cNvPr>
        <xdr:cNvSpPr/>
      </xdr:nvSpPr>
      <xdr:spPr>
        <a:xfrm>
          <a:off x="2333752" y="2185670"/>
          <a:ext cx="190500" cy="190500"/>
        </a:xfrm>
        <a:prstGeom prst="ellipse">
          <a:avLst/>
        </a:prstGeom>
        <a:solidFill>
          <a:srgbClr val="80000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280797</xdr:colOff>
      <xdr:row>11</xdr:row>
      <xdr:rowOff>95107</xdr:rowOff>
    </xdr:from>
    <xdr:ext cx="329257" cy="180627"/>
    <xdr:sp macro="_xll.PtreeEvent_ObjectClick" textlink="">
      <xdr:nvSpPr>
        <xdr:cNvPr id="35" name="PTObj_DBranchName_3_3">
          <a:extLst>
            <a:ext uri="{FF2B5EF4-FFF2-40B4-BE49-F238E27FC236}">
              <a16:creationId xmlns:a16="http://schemas.microsoft.com/office/drawing/2014/main" id="{BEB998E3-B8F5-4AE6-A001-C2D8F17A7274}"/>
            </a:ext>
          </a:extLst>
        </xdr:cNvPr>
        <xdr:cNvSpPr txBox="1"/>
      </xdr:nvSpPr>
      <xdr:spPr>
        <a:xfrm>
          <a:off x="1452372" y="2190607"/>
          <a:ext cx="32925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Online</a:t>
          </a:r>
        </a:p>
      </xdr:txBody>
    </xdr:sp>
    <xdr:clientData/>
  </xdr:oneCellAnchor>
  <xdr:twoCellAnchor editAs="oneCell">
    <xdr:from>
      <xdr:col>3</xdr:col>
      <xdr:colOff>127</xdr:colOff>
      <xdr:row>9</xdr:row>
      <xdr:rowOff>90170</xdr:rowOff>
    </xdr:from>
    <xdr:to>
      <xdr:col>3</xdr:col>
      <xdr:colOff>190627</xdr:colOff>
      <xdr:row>10</xdr:row>
      <xdr:rowOff>90170</xdr:rowOff>
    </xdr:to>
    <xdr:sp macro="_xll.PtreeEvent_ObjectClick" textlink="">
      <xdr:nvSpPr>
        <xdr:cNvPr id="36" name="PTObj_DNode_3_6">
          <a:extLst>
            <a:ext uri="{FF2B5EF4-FFF2-40B4-BE49-F238E27FC236}">
              <a16:creationId xmlns:a16="http://schemas.microsoft.com/office/drawing/2014/main" id="{3BECE693-8632-486C-AEAC-B613955EE291}"/>
            </a:ext>
          </a:extLst>
        </xdr:cNvPr>
        <xdr:cNvSpPr/>
      </xdr:nvSpPr>
      <xdr:spPr>
        <a:xfrm rot="-5400000">
          <a:off x="3410077" y="1804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9</xdr:row>
      <xdr:rowOff>95107</xdr:rowOff>
    </xdr:from>
    <xdr:ext cx="245067" cy="180627"/>
    <xdr:sp macro="_xll.PtreeEvent_ObjectClick" textlink="">
      <xdr:nvSpPr>
        <xdr:cNvPr id="39" name="PTObj_DBranchName_3_6">
          <a:extLst>
            <a:ext uri="{FF2B5EF4-FFF2-40B4-BE49-F238E27FC236}">
              <a16:creationId xmlns:a16="http://schemas.microsoft.com/office/drawing/2014/main" id="{2682E08E-122C-4745-B75F-579FF8CCDDE4}"/>
            </a:ext>
          </a:extLst>
        </xdr:cNvPr>
        <xdr:cNvSpPr txBox="1"/>
      </xdr:nvSpPr>
      <xdr:spPr>
        <a:xfrm>
          <a:off x="2623947" y="1809607"/>
          <a:ext cx="245067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High</a:t>
          </a:r>
        </a:p>
      </xdr:txBody>
    </xdr:sp>
    <xdr:clientData/>
  </xdr:oneCellAnchor>
  <xdr:twoCellAnchor editAs="oneCell">
    <xdr:from>
      <xdr:col>3</xdr:col>
      <xdr:colOff>127</xdr:colOff>
      <xdr:row>13</xdr:row>
      <xdr:rowOff>90170</xdr:rowOff>
    </xdr:from>
    <xdr:to>
      <xdr:col>3</xdr:col>
      <xdr:colOff>190627</xdr:colOff>
      <xdr:row>14</xdr:row>
      <xdr:rowOff>90170</xdr:rowOff>
    </xdr:to>
    <xdr:sp macro="_xll.PtreeEvent_ObjectClick" textlink="">
      <xdr:nvSpPr>
        <xdr:cNvPr id="40" name="PTObj_DNode_3_7">
          <a:extLst>
            <a:ext uri="{FF2B5EF4-FFF2-40B4-BE49-F238E27FC236}">
              <a16:creationId xmlns:a16="http://schemas.microsoft.com/office/drawing/2014/main" id="{871CDC2F-59BE-48C9-9BF3-E33479984CD6}"/>
            </a:ext>
          </a:extLst>
        </xdr:cNvPr>
        <xdr:cNvSpPr/>
      </xdr:nvSpPr>
      <xdr:spPr>
        <a:xfrm rot="-5400000">
          <a:off x="3429127" y="2566670"/>
          <a:ext cx="190500" cy="190500"/>
        </a:xfrm>
        <a:prstGeom prst="triangle">
          <a:avLst/>
        </a:prstGeom>
        <a:solidFill>
          <a:srgbClr val="000080"/>
        </a:solidFill>
        <a:ln w="12700"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280797</xdr:colOff>
      <xdr:row>13</xdr:row>
      <xdr:rowOff>95107</xdr:rowOff>
    </xdr:from>
    <xdr:ext cx="226023" cy="180627"/>
    <xdr:sp macro="_xll.PtreeEvent_ObjectClick" textlink="">
      <xdr:nvSpPr>
        <xdr:cNvPr id="43" name="PTObj_DBranchName_3_7">
          <a:extLst>
            <a:ext uri="{FF2B5EF4-FFF2-40B4-BE49-F238E27FC236}">
              <a16:creationId xmlns:a16="http://schemas.microsoft.com/office/drawing/2014/main" id="{FC5D9500-9779-4654-AE69-B2ED1B7BBC1A}"/>
            </a:ext>
          </a:extLst>
        </xdr:cNvPr>
        <xdr:cNvSpPr txBox="1"/>
      </xdr:nvSpPr>
      <xdr:spPr>
        <a:xfrm>
          <a:off x="2623947" y="2571607"/>
          <a:ext cx="226023" cy="180627"/>
        </a:xfrm>
        <a:prstGeom prst="rect">
          <a:avLst/>
        </a:prstGeom>
        <a:solidFill>
          <a:schemeClr val="lt1"/>
        </a:solidFill>
        <a:ln w="9525" cmpd="sng">
          <a:solidFill>
            <a:srgbClr val="8080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7432" tIns="27432" rIns="27432" bIns="27432" rtlCol="0" anchor="ctr">
          <a:spAutoFit/>
        </a:bodyPr>
        <a:lstStyle/>
        <a:p>
          <a:pPr algn="ctr"/>
          <a:r>
            <a:rPr lang="en-US" sz="800"/>
            <a:t>Low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 E66, C72"/>
      <sheetName val="Strategy Region E66, C72"/>
    </sheetNames>
    <sheetDataSet>
      <sheetData sheetId="0">
        <row r="41">
          <cell r="D41">
            <v>0.1</v>
          </cell>
          <cell r="E41">
            <v>0.18888888888888888</v>
          </cell>
          <cell r="F41">
            <v>0.27777777777777779</v>
          </cell>
          <cell r="G41">
            <v>0.3666666666666667</v>
          </cell>
          <cell r="H41">
            <v>0.45555555555555555</v>
          </cell>
          <cell r="I41">
            <v>0.54444444444444451</v>
          </cell>
          <cell r="J41">
            <v>0.6333333333333333</v>
          </cell>
          <cell r="K41">
            <v>0.72222222222222221</v>
          </cell>
          <cell r="L41">
            <v>0.81111111111111112</v>
          </cell>
          <cell r="M41">
            <v>0.9</v>
          </cell>
        </row>
        <row r="42">
          <cell r="C42">
            <v>0.1</v>
          </cell>
          <cell r="D42">
            <v>72389250</v>
          </cell>
          <cell r="E42">
            <v>72389250</v>
          </cell>
          <cell r="F42">
            <v>72389250</v>
          </cell>
          <cell r="G42">
            <v>72389250</v>
          </cell>
          <cell r="H42">
            <v>76809129.205380499</v>
          </cell>
          <cell r="I42">
            <v>84378283.574320048</v>
          </cell>
          <cell r="J42">
            <v>91947437.943259582</v>
          </cell>
          <cell r="K42">
            <v>99516592.312199131</v>
          </cell>
          <cell r="L42">
            <v>107085746.68113869</v>
          </cell>
          <cell r="M42">
            <v>114654901.05007824</v>
          </cell>
        </row>
        <row r="43">
          <cell r="C43">
            <v>0.18888888888888888</v>
          </cell>
          <cell r="D43">
            <v>72389250</v>
          </cell>
          <cell r="E43">
            <v>72389250</v>
          </cell>
          <cell r="F43">
            <v>72389250</v>
          </cell>
          <cell r="G43">
            <v>72389250</v>
          </cell>
          <cell r="H43">
            <v>72389250</v>
          </cell>
          <cell r="I43">
            <v>77081307.85024187</v>
          </cell>
          <cell r="J43">
            <v>83987933.970224291</v>
          </cell>
          <cell r="K43">
            <v>90894560.090206712</v>
          </cell>
          <cell r="L43">
            <v>97801186.210189164</v>
          </cell>
          <cell r="M43">
            <v>104707812.33017161</v>
          </cell>
        </row>
        <row r="44">
          <cell r="C44">
            <v>0.27777777777777779</v>
          </cell>
          <cell r="D44">
            <v>72389250</v>
          </cell>
          <cell r="E44">
            <v>72389250</v>
          </cell>
          <cell r="F44">
            <v>72389250</v>
          </cell>
          <cell r="G44">
            <v>72389250</v>
          </cell>
          <cell r="H44">
            <v>72389250</v>
          </cell>
          <cell r="I44">
            <v>72389250</v>
          </cell>
          <cell r="J44">
            <v>76028429.997189</v>
          </cell>
          <cell r="K44">
            <v>82272527.868214324</v>
          </cell>
          <cell r="L44">
            <v>88516625.739239648</v>
          </cell>
          <cell r="M44">
            <v>94760723.610264972</v>
          </cell>
        </row>
        <row r="45">
          <cell r="C45">
            <v>0.3666666666666667</v>
          </cell>
          <cell r="D45">
            <v>72389250</v>
          </cell>
          <cell r="E45">
            <v>72389250</v>
          </cell>
          <cell r="F45">
            <v>72389250</v>
          </cell>
          <cell r="G45">
            <v>72389250</v>
          </cell>
          <cell r="H45">
            <v>72389250</v>
          </cell>
          <cell r="I45">
            <v>72389250</v>
          </cell>
          <cell r="J45">
            <v>72389250</v>
          </cell>
          <cell r="K45">
            <v>73650495.646221921</v>
          </cell>
          <cell r="L45">
            <v>79232065.268290132</v>
          </cell>
          <cell r="M45">
            <v>84813634.890358344</v>
          </cell>
        </row>
        <row r="46">
          <cell r="C46">
            <v>0.45555555555555555</v>
          </cell>
          <cell r="D46">
            <v>72389250</v>
          </cell>
          <cell r="E46">
            <v>72389250</v>
          </cell>
          <cell r="F46">
            <v>72389250</v>
          </cell>
          <cell r="G46">
            <v>72389250</v>
          </cell>
          <cell r="H46">
            <v>72389250</v>
          </cell>
          <cell r="I46">
            <v>72389250</v>
          </cell>
          <cell r="J46">
            <v>72389250</v>
          </cell>
          <cell r="K46">
            <v>72389250</v>
          </cell>
          <cell r="L46">
            <v>72389250</v>
          </cell>
          <cell r="M46">
            <v>74866546.170451745</v>
          </cell>
        </row>
        <row r="47">
          <cell r="C47">
            <v>0.54444444444444451</v>
          </cell>
          <cell r="D47">
            <v>72389250</v>
          </cell>
          <cell r="E47">
            <v>72389250</v>
          </cell>
          <cell r="F47">
            <v>72389250</v>
          </cell>
          <cell r="G47">
            <v>72389250</v>
          </cell>
          <cell r="H47">
            <v>72389250</v>
          </cell>
          <cell r="I47">
            <v>72389250</v>
          </cell>
          <cell r="J47">
            <v>72389250</v>
          </cell>
          <cell r="K47">
            <v>72389250</v>
          </cell>
          <cell r="L47">
            <v>72389250</v>
          </cell>
          <cell r="M47">
            <v>72389250</v>
          </cell>
        </row>
        <row r="48">
          <cell r="C48">
            <v>0.6333333333333333</v>
          </cell>
          <cell r="D48">
            <v>72389250</v>
          </cell>
          <cell r="E48">
            <v>72389250</v>
          </cell>
          <cell r="F48">
            <v>72389250</v>
          </cell>
          <cell r="G48">
            <v>72389250</v>
          </cell>
          <cell r="H48">
            <v>72389250</v>
          </cell>
          <cell r="I48">
            <v>72389250</v>
          </cell>
          <cell r="J48">
            <v>72389250</v>
          </cell>
          <cell r="K48">
            <v>72389250</v>
          </cell>
          <cell r="L48">
            <v>72389250</v>
          </cell>
          <cell r="M48">
            <v>72389250</v>
          </cell>
        </row>
        <row r="49">
          <cell r="C49">
            <v>0.72222222222222221</v>
          </cell>
          <cell r="D49">
            <v>72389250</v>
          </cell>
          <cell r="E49">
            <v>72389250</v>
          </cell>
          <cell r="F49">
            <v>72389250</v>
          </cell>
          <cell r="G49">
            <v>72389250</v>
          </cell>
          <cell r="H49">
            <v>72389250</v>
          </cell>
          <cell r="I49">
            <v>72389250</v>
          </cell>
          <cell r="J49">
            <v>72389250</v>
          </cell>
          <cell r="K49">
            <v>72389250</v>
          </cell>
          <cell r="L49">
            <v>72389250</v>
          </cell>
          <cell r="M49">
            <v>72389250</v>
          </cell>
        </row>
        <row r="50">
          <cell r="C50">
            <v>0.81111111111111112</v>
          </cell>
          <cell r="D50">
            <v>72389250</v>
          </cell>
          <cell r="E50">
            <v>72389250</v>
          </cell>
          <cell r="F50">
            <v>72389250</v>
          </cell>
          <cell r="G50">
            <v>72389250</v>
          </cell>
          <cell r="H50">
            <v>72389250</v>
          </cell>
          <cell r="I50">
            <v>72389250</v>
          </cell>
          <cell r="J50">
            <v>72389250</v>
          </cell>
          <cell r="K50">
            <v>72389250</v>
          </cell>
          <cell r="L50">
            <v>72389250</v>
          </cell>
          <cell r="M50">
            <v>72389250</v>
          </cell>
        </row>
        <row r="51">
          <cell r="C51">
            <v>0.9</v>
          </cell>
          <cell r="D51">
            <v>72389250</v>
          </cell>
          <cell r="E51">
            <v>72389250</v>
          </cell>
          <cell r="F51">
            <v>72389250</v>
          </cell>
          <cell r="G51">
            <v>72389250</v>
          </cell>
          <cell r="H51">
            <v>72389250</v>
          </cell>
          <cell r="I51">
            <v>72389250</v>
          </cell>
          <cell r="J51">
            <v>72389250</v>
          </cell>
          <cell r="K51">
            <v>72389250</v>
          </cell>
          <cell r="L51">
            <v>72389250</v>
          </cell>
          <cell r="M51">
            <v>72389250</v>
          </cell>
        </row>
      </sheetData>
      <sheetData sheetId="1">
        <row r="41">
          <cell r="B41">
            <v>0.45555555555555555</v>
          </cell>
          <cell r="C41">
            <v>0.1</v>
          </cell>
          <cell r="D41">
            <v>0.1</v>
          </cell>
          <cell r="E41">
            <v>0.1</v>
          </cell>
        </row>
        <row r="42">
          <cell r="B42">
            <v>0.54444444444444451</v>
          </cell>
          <cell r="C42">
            <v>0.1</v>
          </cell>
          <cell r="D42">
            <v>0.1</v>
          </cell>
          <cell r="E42">
            <v>0.18888888888888888</v>
          </cell>
        </row>
        <row r="43">
          <cell r="B43">
            <v>0.54444444444444451</v>
          </cell>
          <cell r="C43">
            <v>0.18888888888888888</v>
          </cell>
          <cell r="D43">
            <v>0.1</v>
          </cell>
          <cell r="E43">
            <v>0.27777777777777779</v>
          </cell>
        </row>
        <row r="44">
          <cell r="B44">
            <v>0.6333333333333333</v>
          </cell>
          <cell r="C44">
            <v>0.1</v>
          </cell>
          <cell r="D44">
            <v>0.1</v>
          </cell>
          <cell r="E44">
            <v>0.3666666666666667</v>
          </cell>
        </row>
        <row r="45">
          <cell r="B45">
            <v>0.6333333333333333</v>
          </cell>
          <cell r="C45">
            <v>0.18888888888888888</v>
          </cell>
          <cell r="D45">
            <v>0.1</v>
          </cell>
          <cell r="E45">
            <v>0.45555555555555555</v>
          </cell>
        </row>
        <row r="46">
          <cell r="B46">
            <v>0.6333333333333333</v>
          </cell>
          <cell r="C46">
            <v>0.27777777777777779</v>
          </cell>
          <cell r="D46">
            <v>0.1</v>
          </cell>
          <cell r="E46">
            <v>0.54444444444444451</v>
          </cell>
        </row>
        <row r="47">
          <cell r="B47">
            <v>0.72222222222222221</v>
          </cell>
          <cell r="C47">
            <v>0.1</v>
          </cell>
          <cell r="D47">
            <v>0.1</v>
          </cell>
          <cell r="E47">
            <v>0.6333333333333333</v>
          </cell>
        </row>
        <row r="48">
          <cell r="B48">
            <v>0.72222222222222221</v>
          </cell>
          <cell r="C48">
            <v>0.18888888888888888</v>
          </cell>
          <cell r="D48">
            <v>0.1</v>
          </cell>
          <cell r="E48">
            <v>0.72222222222222221</v>
          </cell>
        </row>
        <row r="49">
          <cell r="B49">
            <v>0.72222222222222221</v>
          </cell>
          <cell r="C49">
            <v>0.27777777777777779</v>
          </cell>
          <cell r="D49">
            <v>0.1</v>
          </cell>
          <cell r="E49">
            <v>0.81111111111111112</v>
          </cell>
        </row>
        <row r="50">
          <cell r="B50">
            <v>0.72222222222222221</v>
          </cell>
          <cell r="C50">
            <v>0.3666666666666667</v>
          </cell>
          <cell r="D50">
            <v>0.1</v>
          </cell>
          <cell r="E50">
            <v>0.9</v>
          </cell>
        </row>
        <row r="51">
          <cell r="B51">
            <v>0.81111111111111112</v>
          </cell>
          <cell r="C51">
            <v>0.1</v>
          </cell>
          <cell r="D51">
            <v>0.18888888888888888</v>
          </cell>
          <cell r="E51">
            <v>0.1</v>
          </cell>
        </row>
        <row r="52">
          <cell r="B52">
            <v>0.81111111111111112</v>
          </cell>
          <cell r="C52">
            <v>0.18888888888888888</v>
          </cell>
          <cell r="D52">
            <v>0.18888888888888888</v>
          </cell>
          <cell r="E52">
            <v>0.18888888888888888</v>
          </cell>
        </row>
        <row r="53">
          <cell r="B53">
            <v>0.81111111111111112</v>
          </cell>
          <cell r="C53">
            <v>0.27777777777777779</v>
          </cell>
          <cell r="D53">
            <v>0.18888888888888888</v>
          </cell>
          <cell r="E53">
            <v>0.27777777777777779</v>
          </cell>
        </row>
        <row r="54">
          <cell r="B54">
            <v>0.81111111111111112</v>
          </cell>
          <cell r="C54">
            <v>0.3666666666666667</v>
          </cell>
          <cell r="D54">
            <v>0.18888888888888888</v>
          </cell>
          <cell r="E54">
            <v>0.3666666666666667</v>
          </cell>
        </row>
        <row r="55">
          <cell r="B55">
            <v>0.9</v>
          </cell>
          <cell r="C55">
            <v>0.1</v>
          </cell>
          <cell r="D55">
            <v>0.18888888888888888</v>
          </cell>
          <cell r="E55">
            <v>0.45555555555555555</v>
          </cell>
        </row>
        <row r="56">
          <cell r="B56">
            <v>0.9</v>
          </cell>
          <cell r="C56">
            <v>0.18888888888888888</v>
          </cell>
          <cell r="D56">
            <v>0.18888888888888888</v>
          </cell>
          <cell r="E56">
            <v>0.54444444444444451</v>
          </cell>
        </row>
        <row r="57">
          <cell r="B57">
            <v>0.9</v>
          </cell>
          <cell r="C57">
            <v>0.27777777777777779</v>
          </cell>
          <cell r="D57">
            <v>0.18888888888888888</v>
          </cell>
          <cell r="E57">
            <v>0.6333333333333333</v>
          </cell>
        </row>
        <row r="58">
          <cell r="B58">
            <v>0.9</v>
          </cell>
          <cell r="C58">
            <v>0.3666666666666667</v>
          </cell>
          <cell r="D58">
            <v>0.18888888888888888</v>
          </cell>
          <cell r="E58">
            <v>0.72222222222222221</v>
          </cell>
        </row>
        <row r="59">
          <cell r="B59">
            <v>0.9</v>
          </cell>
          <cell r="C59">
            <v>0.45555555555555555</v>
          </cell>
          <cell r="D59">
            <v>0.18888888888888888</v>
          </cell>
          <cell r="E59">
            <v>0.81111111111111112</v>
          </cell>
        </row>
        <row r="60">
          <cell r="D60">
            <v>0.18888888888888888</v>
          </cell>
          <cell r="E60">
            <v>0.9</v>
          </cell>
        </row>
        <row r="61">
          <cell r="D61">
            <v>0.27777777777777779</v>
          </cell>
          <cell r="E61">
            <v>0.1</v>
          </cell>
        </row>
        <row r="62">
          <cell r="D62">
            <v>0.27777777777777779</v>
          </cell>
          <cell r="E62">
            <v>0.18888888888888888</v>
          </cell>
        </row>
        <row r="63">
          <cell r="D63">
            <v>0.27777777777777779</v>
          </cell>
          <cell r="E63">
            <v>0.27777777777777779</v>
          </cell>
        </row>
        <row r="64">
          <cell r="D64">
            <v>0.27777777777777779</v>
          </cell>
          <cell r="E64">
            <v>0.3666666666666667</v>
          </cell>
        </row>
        <row r="65">
          <cell r="D65">
            <v>0.27777777777777779</v>
          </cell>
          <cell r="E65">
            <v>0.45555555555555555</v>
          </cell>
        </row>
        <row r="66">
          <cell r="D66">
            <v>0.27777777777777779</v>
          </cell>
          <cell r="E66">
            <v>0.54444444444444451</v>
          </cell>
        </row>
        <row r="67">
          <cell r="D67">
            <v>0.27777777777777779</v>
          </cell>
          <cell r="E67">
            <v>0.6333333333333333</v>
          </cell>
        </row>
        <row r="68">
          <cell r="D68">
            <v>0.27777777777777779</v>
          </cell>
          <cell r="E68">
            <v>0.72222222222222221</v>
          </cell>
        </row>
        <row r="69">
          <cell r="D69">
            <v>0.27777777777777779</v>
          </cell>
          <cell r="E69">
            <v>0.81111111111111112</v>
          </cell>
        </row>
        <row r="70">
          <cell r="D70">
            <v>0.27777777777777779</v>
          </cell>
          <cell r="E70">
            <v>0.9</v>
          </cell>
        </row>
        <row r="71">
          <cell r="D71">
            <v>0.3666666666666667</v>
          </cell>
          <cell r="E71">
            <v>0.1</v>
          </cell>
        </row>
        <row r="72">
          <cell r="D72">
            <v>0.3666666666666667</v>
          </cell>
          <cell r="E72">
            <v>0.18888888888888888</v>
          </cell>
        </row>
        <row r="73">
          <cell r="D73">
            <v>0.3666666666666667</v>
          </cell>
          <cell r="E73">
            <v>0.27777777777777779</v>
          </cell>
        </row>
        <row r="74">
          <cell r="D74">
            <v>0.3666666666666667</v>
          </cell>
          <cell r="E74">
            <v>0.3666666666666667</v>
          </cell>
        </row>
        <row r="75">
          <cell r="D75">
            <v>0.3666666666666667</v>
          </cell>
          <cell r="E75">
            <v>0.45555555555555555</v>
          </cell>
        </row>
        <row r="76">
          <cell r="D76">
            <v>0.3666666666666667</v>
          </cell>
          <cell r="E76">
            <v>0.54444444444444451</v>
          </cell>
        </row>
        <row r="77">
          <cell r="D77">
            <v>0.3666666666666667</v>
          </cell>
          <cell r="E77">
            <v>0.6333333333333333</v>
          </cell>
        </row>
        <row r="78">
          <cell r="D78">
            <v>0.3666666666666667</v>
          </cell>
          <cell r="E78">
            <v>0.72222222222222221</v>
          </cell>
        </row>
        <row r="79">
          <cell r="D79">
            <v>0.3666666666666667</v>
          </cell>
          <cell r="E79">
            <v>0.81111111111111112</v>
          </cell>
        </row>
        <row r="80">
          <cell r="D80">
            <v>0.3666666666666667</v>
          </cell>
          <cell r="E80">
            <v>0.9</v>
          </cell>
        </row>
        <row r="81">
          <cell r="D81">
            <v>0.45555555555555555</v>
          </cell>
          <cell r="E81">
            <v>0.18888888888888888</v>
          </cell>
        </row>
        <row r="82">
          <cell r="D82">
            <v>0.45555555555555555</v>
          </cell>
          <cell r="E82">
            <v>0.27777777777777779</v>
          </cell>
        </row>
        <row r="83">
          <cell r="D83">
            <v>0.45555555555555555</v>
          </cell>
          <cell r="E83">
            <v>0.3666666666666667</v>
          </cell>
        </row>
        <row r="84">
          <cell r="D84">
            <v>0.45555555555555555</v>
          </cell>
          <cell r="E84">
            <v>0.45555555555555555</v>
          </cell>
        </row>
        <row r="85">
          <cell r="D85">
            <v>0.45555555555555555</v>
          </cell>
          <cell r="E85">
            <v>0.54444444444444451</v>
          </cell>
        </row>
        <row r="86">
          <cell r="D86">
            <v>0.45555555555555555</v>
          </cell>
          <cell r="E86">
            <v>0.6333333333333333</v>
          </cell>
        </row>
        <row r="87">
          <cell r="D87">
            <v>0.45555555555555555</v>
          </cell>
          <cell r="E87">
            <v>0.72222222222222221</v>
          </cell>
        </row>
        <row r="88">
          <cell r="D88">
            <v>0.45555555555555555</v>
          </cell>
          <cell r="E88">
            <v>0.81111111111111112</v>
          </cell>
        </row>
        <row r="89">
          <cell r="D89">
            <v>0.45555555555555555</v>
          </cell>
          <cell r="E89">
            <v>0.9</v>
          </cell>
        </row>
        <row r="90">
          <cell r="D90">
            <v>0.54444444444444451</v>
          </cell>
          <cell r="E90">
            <v>0.27777777777777779</v>
          </cell>
        </row>
        <row r="91">
          <cell r="D91">
            <v>0.54444444444444451</v>
          </cell>
          <cell r="E91">
            <v>0.3666666666666667</v>
          </cell>
        </row>
        <row r="92">
          <cell r="D92">
            <v>0.54444444444444451</v>
          </cell>
          <cell r="E92">
            <v>0.45555555555555555</v>
          </cell>
        </row>
        <row r="93">
          <cell r="D93">
            <v>0.54444444444444451</v>
          </cell>
          <cell r="E93">
            <v>0.54444444444444451</v>
          </cell>
        </row>
        <row r="94">
          <cell r="D94">
            <v>0.54444444444444451</v>
          </cell>
          <cell r="E94">
            <v>0.6333333333333333</v>
          </cell>
        </row>
        <row r="95">
          <cell r="D95">
            <v>0.54444444444444451</v>
          </cell>
          <cell r="E95">
            <v>0.72222222222222221</v>
          </cell>
        </row>
        <row r="96">
          <cell r="D96">
            <v>0.54444444444444451</v>
          </cell>
          <cell r="E96">
            <v>0.81111111111111112</v>
          </cell>
        </row>
        <row r="97">
          <cell r="D97">
            <v>0.54444444444444451</v>
          </cell>
          <cell r="E97">
            <v>0.9</v>
          </cell>
        </row>
        <row r="98">
          <cell r="D98">
            <v>0.6333333333333333</v>
          </cell>
          <cell r="E98">
            <v>0.3666666666666667</v>
          </cell>
        </row>
        <row r="99">
          <cell r="D99">
            <v>0.6333333333333333</v>
          </cell>
          <cell r="E99">
            <v>0.45555555555555555</v>
          </cell>
        </row>
        <row r="100">
          <cell r="D100">
            <v>0.6333333333333333</v>
          </cell>
          <cell r="E100">
            <v>0.54444444444444451</v>
          </cell>
        </row>
        <row r="101">
          <cell r="D101">
            <v>0.6333333333333333</v>
          </cell>
          <cell r="E101">
            <v>0.6333333333333333</v>
          </cell>
        </row>
        <row r="102">
          <cell r="D102">
            <v>0.6333333333333333</v>
          </cell>
          <cell r="E102">
            <v>0.72222222222222221</v>
          </cell>
        </row>
        <row r="103">
          <cell r="D103">
            <v>0.6333333333333333</v>
          </cell>
          <cell r="E103">
            <v>0.81111111111111112</v>
          </cell>
        </row>
        <row r="104">
          <cell r="D104">
            <v>0.6333333333333333</v>
          </cell>
          <cell r="E104">
            <v>0.9</v>
          </cell>
        </row>
        <row r="105">
          <cell r="D105">
            <v>0.72222222222222221</v>
          </cell>
          <cell r="E105">
            <v>0.45555555555555555</v>
          </cell>
        </row>
        <row r="106">
          <cell r="D106">
            <v>0.72222222222222221</v>
          </cell>
          <cell r="E106">
            <v>0.54444444444444451</v>
          </cell>
        </row>
        <row r="107">
          <cell r="D107">
            <v>0.72222222222222221</v>
          </cell>
          <cell r="E107">
            <v>0.6333333333333333</v>
          </cell>
        </row>
        <row r="108">
          <cell r="D108">
            <v>0.72222222222222221</v>
          </cell>
          <cell r="E108">
            <v>0.72222222222222221</v>
          </cell>
        </row>
        <row r="109">
          <cell r="D109">
            <v>0.72222222222222221</v>
          </cell>
          <cell r="E109">
            <v>0.81111111111111112</v>
          </cell>
        </row>
        <row r="110">
          <cell r="D110">
            <v>0.72222222222222221</v>
          </cell>
          <cell r="E110">
            <v>0.9</v>
          </cell>
        </row>
        <row r="111">
          <cell r="D111">
            <v>0.81111111111111112</v>
          </cell>
          <cell r="E111">
            <v>0.45555555555555555</v>
          </cell>
        </row>
        <row r="112">
          <cell r="D112">
            <v>0.81111111111111112</v>
          </cell>
          <cell r="E112">
            <v>0.54444444444444451</v>
          </cell>
        </row>
        <row r="113">
          <cell r="D113">
            <v>0.81111111111111112</v>
          </cell>
          <cell r="E113">
            <v>0.6333333333333333</v>
          </cell>
        </row>
        <row r="114">
          <cell r="D114">
            <v>0.81111111111111112</v>
          </cell>
          <cell r="E114">
            <v>0.72222222222222221</v>
          </cell>
        </row>
        <row r="115">
          <cell r="D115">
            <v>0.81111111111111112</v>
          </cell>
          <cell r="E115">
            <v>0.81111111111111112</v>
          </cell>
        </row>
        <row r="116">
          <cell r="D116">
            <v>0.81111111111111112</v>
          </cell>
          <cell r="E116">
            <v>0.9</v>
          </cell>
        </row>
        <row r="117">
          <cell r="D117">
            <v>0.9</v>
          </cell>
          <cell r="E117">
            <v>0.54444444444444451</v>
          </cell>
        </row>
        <row r="118">
          <cell r="D118">
            <v>0.9</v>
          </cell>
          <cell r="E118">
            <v>0.6333333333333333</v>
          </cell>
        </row>
        <row r="119">
          <cell r="D119">
            <v>0.9</v>
          </cell>
          <cell r="E119">
            <v>0.72222222222222221</v>
          </cell>
        </row>
        <row r="120">
          <cell r="D120">
            <v>0.9</v>
          </cell>
          <cell r="E120">
            <v>0.81111111111111112</v>
          </cell>
        </row>
        <row r="121">
          <cell r="D121">
            <v>0.9</v>
          </cell>
          <cell r="E121">
            <v>0.9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randviewresearch.com/industry-analysis/video-conferencing-mark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9"/>
  <sheetViews>
    <sheetView showGridLines="0" tabSelected="1" topLeftCell="A10" workbookViewId="0">
      <selection activeCell="D24" sqref="D24"/>
    </sheetView>
  </sheetViews>
  <sheetFormatPr defaultRowHeight="15" x14ac:dyDescent="0.25"/>
  <cols>
    <col min="1" max="1" width="17.28515625" style="28" customWidth="1"/>
    <col min="2" max="2" width="12" style="28" customWidth="1"/>
    <col min="3" max="4" width="11" style="28" customWidth="1"/>
    <col min="5" max="5" width="12.140625" style="28" customWidth="1"/>
    <col min="6" max="8" width="11" style="28" customWidth="1"/>
    <col min="9" max="11" width="12.28515625" style="28" customWidth="1"/>
    <col min="12" max="12" width="12.7109375" style="28" customWidth="1"/>
    <col min="13" max="13" width="7.28515625" style="28" customWidth="1"/>
    <col min="14" max="14" width="9.140625" style="28"/>
    <col min="15" max="15" width="13.140625" style="28" customWidth="1"/>
    <col min="16" max="17" width="9.140625" style="28"/>
    <col min="18" max="18" width="14.85546875" style="28" bestFit="1" customWidth="1"/>
    <col min="19" max="19" width="11.140625" style="28" bestFit="1" customWidth="1"/>
    <col min="20" max="16384" width="9.140625" style="28"/>
  </cols>
  <sheetData>
    <row r="1" spans="1:19" ht="15.75" x14ac:dyDescent="0.25">
      <c r="A1" s="27" t="s">
        <v>22</v>
      </c>
      <c r="E1" s="29" t="s">
        <v>7</v>
      </c>
      <c r="F1" s="29" t="s">
        <v>23</v>
      </c>
      <c r="G1" s="55"/>
      <c r="H1" s="55"/>
      <c r="I1" s="56" t="s">
        <v>56</v>
      </c>
      <c r="J1" s="55"/>
      <c r="K1" s="57" t="s">
        <v>165</v>
      </c>
      <c r="L1" s="57" t="s">
        <v>166</v>
      </c>
      <c r="M1" s="55"/>
      <c r="N1" s="62" t="s">
        <v>169</v>
      </c>
      <c r="O1" s="57"/>
      <c r="P1" s="57" t="s">
        <v>170</v>
      </c>
    </row>
    <row r="2" spans="1:19" ht="15.75" x14ac:dyDescent="0.25">
      <c r="A2" s="28" t="str">
        <f>A16</f>
        <v>1. Best case: Rivals withdraw; Zoom innovates</v>
      </c>
      <c r="E2" s="41">
        <f>B34</f>
        <v>276303227.43449765</v>
      </c>
      <c r="F2" s="32">
        <f>G2</f>
        <v>0.20474999999999996</v>
      </c>
      <c r="G2" s="58">
        <f>L2*L3*K4</f>
        <v>0.20474999999999996</v>
      </c>
      <c r="H2" s="55"/>
      <c r="I2" s="55" t="s">
        <v>122</v>
      </c>
      <c r="J2" s="55"/>
      <c r="K2" s="58">
        <v>0.55000000000000004</v>
      </c>
      <c r="L2" s="58">
        <f>1-K2</f>
        <v>0.44999999999999996</v>
      </c>
      <c r="M2" s="55"/>
      <c r="N2" s="63">
        <v>43676</v>
      </c>
      <c r="O2" s="64">
        <v>25440000</v>
      </c>
      <c r="P2" s="55"/>
    </row>
    <row r="3" spans="1:19" ht="15.75" x14ac:dyDescent="0.25">
      <c r="A3" s="28" t="str">
        <f>A41</f>
        <v>2. Mid1: Rivals withdraw; Zoom lags</v>
      </c>
      <c r="E3" s="41">
        <f>B59</f>
        <v>84445584.878864914</v>
      </c>
      <c r="F3" s="32">
        <f t="shared" ref="F3:F9" si="0">G3</f>
        <v>0.11024999999999997</v>
      </c>
      <c r="G3" s="58">
        <f>L2*L3*L4</f>
        <v>0.11024999999999997</v>
      </c>
      <c r="H3" s="55"/>
      <c r="I3" s="55" t="s">
        <v>167</v>
      </c>
      <c r="J3" s="55"/>
      <c r="K3" s="58">
        <v>0.3</v>
      </c>
      <c r="L3" s="58">
        <f t="shared" ref="L3:L4" si="1">1-K3</f>
        <v>0.7</v>
      </c>
      <c r="M3" s="55"/>
      <c r="N3" s="63">
        <v>44042</v>
      </c>
      <c r="O3" s="64">
        <v>70526000</v>
      </c>
      <c r="P3" s="58">
        <f>(O3-O2)/O2</f>
        <v>1.772248427672956</v>
      </c>
      <c r="S3" s="31"/>
    </row>
    <row r="4" spans="1:19" ht="15.75" x14ac:dyDescent="0.25">
      <c r="A4" s="28" t="str">
        <f>A66</f>
        <v>3. Mid2: Rivals' quality fails; Price war; Zoom lags</v>
      </c>
      <c r="E4" s="41">
        <f>B84</f>
        <v>6655570.6239890121</v>
      </c>
      <c r="F4" s="32">
        <f t="shared" si="0"/>
        <v>0.13474999999999998</v>
      </c>
      <c r="G4" s="58">
        <f>L3*K2*L4</f>
        <v>0.13474999999999998</v>
      </c>
      <c r="H4" s="55"/>
      <c r="I4" s="55" t="s">
        <v>168</v>
      </c>
      <c r="J4" s="55"/>
      <c r="K4" s="58">
        <v>0.65</v>
      </c>
      <c r="L4" s="58">
        <f t="shared" si="1"/>
        <v>0.35</v>
      </c>
      <c r="M4" s="55"/>
      <c r="N4" s="63">
        <v>44060</v>
      </c>
      <c r="O4" s="64">
        <v>75082000</v>
      </c>
      <c r="P4" s="58">
        <f>(O4-O3)/O3</f>
        <v>6.4600289255026519E-2</v>
      </c>
      <c r="S4" s="31"/>
    </row>
    <row r="5" spans="1:19" ht="15.75" x14ac:dyDescent="0.25">
      <c r="A5" s="28" t="str">
        <f>A90</f>
        <v>4. Mid3: Rivals' quality fails; Price war; Zoom innovates</v>
      </c>
      <c r="E5" s="41">
        <f>B108</f>
        <v>19750426.353804711</v>
      </c>
      <c r="F5" s="32">
        <f t="shared" si="0"/>
        <v>0.25025000000000003</v>
      </c>
      <c r="G5" s="58">
        <f>L3*K2*K4</f>
        <v>0.25025000000000003</v>
      </c>
      <c r="H5" s="55"/>
      <c r="I5" s="55"/>
      <c r="J5" s="55"/>
      <c r="K5" s="55"/>
      <c r="L5" s="55"/>
      <c r="M5" s="55"/>
      <c r="N5" s="55" t="s">
        <v>171</v>
      </c>
      <c r="O5" s="33">
        <v>0.25</v>
      </c>
      <c r="S5" s="31"/>
    </row>
    <row r="6" spans="1:19" ht="15.75" x14ac:dyDescent="0.25">
      <c r="A6" s="28" t="str">
        <f>A114</f>
        <v>5. Mid4: Rivals' fix quality; No price war; Zoom lags</v>
      </c>
      <c r="E6" s="41">
        <f>B132</f>
        <v>8419671.1155809592</v>
      </c>
      <c r="F6" s="32">
        <f t="shared" si="0"/>
        <v>4.7249999999999993E-2</v>
      </c>
      <c r="G6" s="58">
        <f>K3*L2*L4</f>
        <v>4.7249999999999993E-2</v>
      </c>
      <c r="H6" s="55"/>
      <c r="I6" s="59" t="s">
        <v>123</v>
      </c>
      <c r="J6" s="55"/>
      <c r="K6" s="55"/>
      <c r="L6" s="55"/>
      <c r="M6" s="55"/>
      <c r="O6" s="31">
        <f>(O2+O3)/2*(1+O$5)</f>
        <v>59978750</v>
      </c>
      <c r="P6" s="33">
        <v>0.4</v>
      </c>
    </row>
    <row r="7" spans="1:19" ht="15.75" x14ac:dyDescent="0.25">
      <c r="A7" s="28" t="str">
        <f>A138</f>
        <v>6. Mid5: Rivals' fix quality; No price war; Zoom innovates</v>
      </c>
      <c r="E7" s="41">
        <f>B156</f>
        <v>14435060.111334557</v>
      </c>
      <c r="F7" s="32">
        <f t="shared" si="0"/>
        <v>8.7749999999999995E-2</v>
      </c>
      <c r="G7" s="58">
        <f>K3*L2*K4</f>
        <v>8.7749999999999995E-2</v>
      </c>
      <c r="H7" s="55"/>
      <c r="I7" s="55" t="s">
        <v>124</v>
      </c>
      <c r="J7" s="55"/>
      <c r="K7" s="60" t="s">
        <v>125</v>
      </c>
      <c r="L7" s="55"/>
      <c r="M7" s="55"/>
      <c r="O7" s="31">
        <f>(O3+O4)/2*(1+O$5)</f>
        <v>91005000</v>
      </c>
      <c r="P7" s="33">
        <f>1-P6</f>
        <v>0.6</v>
      </c>
    </row>
    <row r="8" spans="1:19" ht="15.75" x14ac:dyDescent="0.25">
      <c r="A8" s="28" t="str">
        <f>A162</f>
        <v>7. Mid6: Rivals' fix quality; Price war; Zoom innovates</v>
      </c>
      <c r="E8" s="41">
        <f>B180</f>
        <v>15297342.800369034</v>
      </c>
      <c r="F8" s="32">
        <f t="shared" si="0"/>
        <v>0.10725000000000001</v>
      </c>
      <c r="G8" s="58">
        <f>K3*K2*K4</f>
        <v>0.10725000000000001</v>
      </c>
      <c r="H8" s="55"/>
      <c r="I8" s="55" t="s">
        <v>126</v>
      </c>
      <c r="J8" s="55"/>
      <c r="K8" s="61">
        <v>9.9000000000000005E-2</v>
      </c>
      <c r="L8" s="55"/>
      <c r="M8" s="55"/>
      <c r="O8" s="31">
        <f>O6*P6+O7*P7</f>
        <v>78594500</v>
      </c>
    </row>
    <row r="9" spans="1:19" ht="15.75" x14ac:dyDescent="0.25">
      <c r="A9" s="28" t="str">
        <f>A187</f>
        <v>8. Worst case: Rivals' fix quality; Price war; Zoom lags</v>
      </c>
      <c r="E9" s="41">
        <f>B205</f>
        <v>2606518.719078532</v>
      </c>
      <c r="F9" s="32">
        <f t="shared" si="0"/>
        <v>5.7749999999999996E-2</v>
      </c>
      <c r="G9" s="58">
        <f>K3*K2*L4</f>
        <v>5.7749999999999996E-2</v>
      </c>
      <c r="H9" s="55"/>
      <c r="I9" s="55"/>
      <c r="J9" s="55"/>
      <c r="K9" s="55"/>
      <c r="L9" s="55"/>
      <c r="M9" s="55"/>
      <c r="N9" s="55"/>
    </row>
    <row r="10" spans="1:19" ht="15.75" x14ac:dyDescent="0.25">
      <c r="A10" s="28" t="s">
        <v>26</v>
      </c>
      <c r="E10" s="41">
        <f>IF(F10=1,E2*F2+E3*F3+E4*F4+E5*F5+E6*F6+E7*F7+E8*F8+E9*F9)</f>
        <v>75178266.34307757</v>
      </c>
      <c r="F10" s="32">
        <f>SUM(F2:F9)</f>
        <v>1</v>
      </c>
      <c r="G10" s="55"/>
      <c r="H10" s="55"/>
      <c r="L10" s="55"/>
      <c r="M10" s="55"/>
    </row>
    <row r="11" spans="1:19" ht="15.75" x14ac:dyDescent="0.25">
      <c r="A11" s="28" t="s">
        <v>24</v>
      </c>
      <c r="E11" s="41">
        <f>O8</f>
        <v>78594500</v>
      </c>
      <c r="G11" s="55"/>
      <c r="H11" s="55"/>
      <c r="L11" s="55"/>
      <c r="M11" s="55"/>
    </row>
    <row r="12" spans="1:19" ht="15.75" x14ac:dyDescent="0.25">
      <c r="A12" s="30" t="s">
        <v>25</v>
      </c>
      <c r="B12" s="30"/>
      <c r="C12" s="30"/>
      <c r="D12" s="30"/>
      <c r="E12" s="42">
        <f>E10-E11</f>
        <v>-3416233.6569224298</v>
      </c>
      <c r="G12" s="55"/>
      <c r="H12" s="55"/>
      <c r="L12" s="55"/>
      <c r="M12" s="55"/>
    </row>
    <row r="13" spans="1:19" ht="15.75" x14ac:dyDescent="0.25">
      <c r="A13" s="30"/>
      <c r="B13" s="30"/>
      <c r="C13" s="30"/>
      <c r="D13" s="30"/>
      <c r="E13" s="34"/>
      <c r="G13" s="55"/>
      <c r="H13" s="55"/>
      <c r="L13" s="55"/>
      <c r="M13" s="55"/>
    </row>
    <row r="14" spans="1:19" ht="15.75" x14ac:dyDescent="0.25">
      <c r="A14" s="30"/>
      <c r="B14" s="30"/>
      <c r="C14" s="30"/>
      <c r="D14" s="30"/>
      <c r="E14" s="34"/>
      <c r="G14" s="55"/>
      <c r="H14" s="55"/>
      <c r="I14" s="55"/>
      <c r="J14" s="55"/>
      <c r="K14" s="55"/>
      <c r="L14" s="55"/>
      <c r="M14" s="55"/>
    </row>
    <row r="16" spans="1:19" ht="15.75" x14ac:dyDescent="0.25">
      <c r="A16" s="44" t="s">
        <v>151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</row>
    <row r="17" spans="1:12" ht="15.75" x14ac:dyDescent="0.25">
      <c r="A17" s="45"/>
    </row>
    <row r="18" spans="1:12" ht="15.75" x14ac:dyDescent="0.25">
      <c r="A18" s="45"/>
      <c r="D18" s="72" t="s">
        <v>184</v>
      </c>
      <c r="E18" s="55"/>
      <c r="F18" s="73" t="s">
        <v>183</v>
      </c>
      <c r="G18" s="74"/>
      <c r="H18" s="74"/>
    </row>
    <row r="19" spans="1:12" ht="15.75" x14ac:dyDescent="0.25">
      <c r="A19" s="46" t="s">
        <v>15</v>
      </c>
      <c r="C19" s="29" t="s">
        <v>20</v>
      </c>
      <c r="D19" s="29" t="s">
        <v>21</v>
      </c>
      <c r="E19" s="36" t="s">
        <v>27</v>
      </c>
      <c r="F19" s="37" t="s">
        <v>16</v>
      </c>
      <c r="G19" s="37" t="s">
        <v>17</v>
      </c>
      <c r="H19" s="37" t="s">
        <v>18</v>
      </c>
    </row>
    <row r="20" spans="1:12" ht="15.75" x14ac:dyDescent="0.25">
      <c r="A20" s="45" t="s">
        <v>12</v>
      </c>
      <c r="C20" s="32">
        <f>F20</f>
        <v>3.31928350777521E-2</v>
      </c>
      <c r="D20" s="32">
        <v>6.0000000000000001E-3</v>
      </c>
      <c r="E20" s="28">
        <v>2029</v>
      </c>
      <c r="F20" s="32">
        <f>ZoomFinancials!F$15</f>
        <v>3.31928350777521E-2</v>
      </c>
      <c r="G20" s="32">
        <f>ZoomFinancials!G$15</f>
        <v>8.0671728309986944E-3</v>
      </c>
      <c r="H20" s="32">
        <f>ZoomFinancials!H$15</f>
        <v>3.31928350777521E-2</v>
      </c>
    </row>
    <row r="21" spans="1:12" ht="15.75" x14ac:dyDescent="0.25">
      <c r="A21" s="45" t="s">
        <v>8</v>
      </c>
      <c r="C21" s="32">
        <f>F21</f>
        <v>1.2504011630299123</v>
      </c>
      <c r="D21" s="32">
        <v>0.3</v>
      </c>
      <c r="E21" s="28">
        <v>2029</v>
      </c>
      <c r="F21" s="32">
        <f>ZoomFinancials!F$5</f>
        <v>1.2504011630299123</v>
      </c>
      <c r="G21" s="32">
        <f>ZoomFinancials!G$5</f>
        <v>1.2017393568275785</v>
      </c>
      <c r="H21" s="32">
        <f>ZoomFinancials!H$5</f>
        <v>1.4907180558067645</v>
      </c>
    </row>
    <row r="22" spans="1:12" ht="15.75" x14ac:dyDescent="0.25">
      <c r="A22" s="45" t="s">
        <v>13</v>
      </c>
      <c r="C22" s="32">
        <f>F22</f>
        <v>2.2620603807552292E-2</v>
      </c>
      <c r="F22" s="32">
        <f>ZoomFinancials!F$24</f>
        <v>2.2620603807552292E-2</v>
      </c>
      <c r="G22" s="32">
        <f>ZoomFinancials!G$24</f>
        <v>2.17353975894626E-2</v>
      </c>
      <c r="H22" s="32">
        <f>ZoomFinancials!H$24</f>
        <v>2.6417391248486327E-2</v>
      </c>
    </row>
    <row r="23" spans="1:12" ht="15.75" x14ac:dyDescent="0.25">
      <c r="A23" s="45" t="s">
        <v>14</v>
      </c>
      <c r="C23" s="32">
        <f>F23</f>
        <v>8.0859676610396308E-2</v>
      </c>
      <c r="F23" s="32">
        <f>ZoomFinancials!F$20</f>
        <v>8.0859676610396308E-2</v>
      </c>
      <c r="G23" s="32">
        <f>ZoomFinancials!G$20</f>
        <v>0.24295557380562949</v>
      </c>
      <c r="H23" s="32">
        <f>ZoomFinancials!H$20</f>
        <v>1.0886075949367089</v>
      </c>
    </row>
    <row r="24" spans="1:12" ht="15.75" x14ac:dyDescent="0.25">
      <c r="A24" s="45" t="s">
        <v>9</v>
      </c>
      <c r="C24" s="32">
        <v>5.5E-2</v>
      </c>
    </row>
    <row r="25" spans="1:12" ht="15.75" x14ac:dyDescent="0.25">
      <c r="A25" s="45" t="s">
        <v>10</v>
      </c>
      <c r="C25" s="32">
        <v>0.02</v>
      </c>
    </row>
    <row r="26" spans="1:12" ht="15.75" x14ac:dyDescent="0.25">
      <c r="A26" s="45"/>
      <c r="C26" s="32"/>
    </row>
    <row r="27" spans="1:12" ht="15.75" x14ac:dyDescent="0.25">
      <c r="A27" s="46" t="s">
        <v>57</v>
      </c>
    </row>
    <row r="28" spans="1:12" ht="15.75" x14ac:dyDescent="0.25">
      <c r="A28" s="47" t="s">
        <v>58</v>
      </c>
      <c r="B28" s="27">
        <v>2020</v>
      </c>
      <c r="C28" s="27">
        <f>B28+1</f>
        <v>2021</v>
      </c>
      <c r="D28" s="27">
        <f t="shared" ref="D28:F28" si="2">C28+1</f>
        <v>2022</v>
      </c>
      <c r="E28" s="27">
        <f t="shared" si="2"/>
        <v>2023</v>
      </c>
      <c r="F28" s="27">
        <f t="shared" si="2"/>
        <v>2024</v>
      </c>
      <c r="G28" s="27">
        <f t="shared" ref="G28" si="3">F28+1</f>
        <v>2025</v>
      </c>
      <c r="H28" s="27">
        <f t="shared" ref="H28" si="4">G28+1</f>
        <v>2026</v>
      </c>
      <c r="I28" s="27">
        <f t="shared" ref="I28" si="5">H28+1</f>
        <v>2027</v>
      </c>
      <c r="J28" s="27">
        <f t="shared" ref="J28" si="6">I28+1</f>
        <v>2028</v>
      </c>
      <c r="K28" s="27">
        <f t="shared" ref="K28" si="7">J28+1</f>
        <v>2029</v>
      </c>
      <c r="L28" s="29" t="s">
        <v>19</v>
      </c>
    </row>
    <row r="29" spans="1:12" ht="15.75" x14ac:dyDescent="0.25">
      <c r="A29" s="45" t="s">
        <v>3</v>
      </c>
      <c r="B29" s="38">
        <f>ZoomFinancials!$B$4</f>
        <v>622658</v>
      </c>
      <c r="C29" s="38">
        <f>B29*(1+IF(C28&gt;$E21-1,$D21,$C21))</f>
        <v>1401230.2873698792</v>
      </c>
      <c r="D29" s="38">
        <f t="shared" ref="D29:K29" si="8">C29*(1+IF(D28&gt;$E21-1,$D21,$C21))</f>
        <v>3153330.2683699145</v>
      </c>
      <c r="E29" s="38">
        <f t="shared" si="8"/>
        <v>7096258.1033570813</v>
      </c>
      <c r="F29" s="38">
        <f t="shared" si="8"/>
        <v>15969427.488955216</v>
      </c>
      <c r="G29" s="38">
        <f t="shared" si="8"/>
        <v>35937618.194066674</v>
      </c>
      <c r="H29" s="38">
        <f t="shared" si="8"/>
        <v>80874057.780452579</v>
      </c>
      <c r="I29" s="38">
        <f t="shared" si="8"/>
        <v>181999073.68807882</v>
      </c>
      <c r="J29" s="38">
        <f t="shared" si="8"/>
        <v>409570927.0980193</v>
      </c>
      <c r="K29" s="38">
        <f t="shared" si="8"/>
        <v>532442205.2274251</v>
      </c>
      <c r="L29" s="38"/>
    </row>
    <row r="30" spans="1:12" ht="15.75" x14ac:dyDescent="0.25">
      <c r="A30" s="45" t="s">
        <v>11</v>
      </c>
      <c r="B30" s="38">
        <f>B29*IF(B28&gt;$E20-1,$D20,$C20)</f>
        <v>20667.784303842967</v>
      </c>
      <c r="C30" s="38">
        <f t="shared" ref="C30:K30" si="9">C29*IF(C28&gt;$E20-1,$D20,$C20)</f>
        <v>46510.805834619583</v>
      </c>
      <c r="D30" s="38">
        <f t="shared" si="9"/>
        <v>104667.97154368635</v>
      </c>
      <c r="E30" s="38">
        <f t="shared" si="9"/>
        <v>235544.92489389351</v>
      </c>
      <c r="F30" s="38">
        <f t="shared" si="9"/>
        <v>530070.57292701129</v>
      </c>
      <c r="G30" s="38">
        <f t="shared" si="9"/>
        <v>1192871.4338028783</v>
      </c>
      <c r="H30" s="38">
        <f t="shared" si="9"/>
        <v>2684439.2619751566</v>
      </c>
      <c r="I30" s="38">
        <f t="shared" si="9"/>
        <v>6041065.2372320518</v>
      </c>
      <c r="J30" s="38">
        <f t="shared" si="9"/>
        <v>13594820.235806582</v>
      </c>
      <c r="K30" s="38">
        <f t="shared" si="9"/>
        <v>3194653.2313645505</v>
      </c>
      <c r="L30" s="38"/>
    </row>
    <row r="31" spans="1:12" ht="15.75" x14ac:dyDescent="0.25">
      <c r="A31" s="45" t="s">
        <v>5</v>
      </c>
      <c r="B31" s="38">
        <f>B30*$C23</f>
        <v>1671.1903550621671</v>
      </c>
      <c r="C31" s="38">
        <f>C30*$C23</f>
        <v>3760.8487186762732</v>
      </c>
      <c r="D31" s="38">
        <f>D30*$C23</f>
        <v>8463.418330488641</v>
      </c>
      <c r="E31" s="38">
        <f>E30*$C23</f>
        <v>19046.086454140317</v>
      </c>
      <c r="F31" s="38">
        <f>F30*$C23</f>
        <v>42861.335107565625</v>
      </c>
      <c r="G31" s="38">
        <f t="shared" ref="G31:K31" si="10">G30*$C23</f>
        <v>96455.198375080508</v>
      </c>
      <c r="H31" s="38">
        <f t="shared" si="10"/>
        <v>217062.89060356209</v>
      </c>
      <c r="I31" s="38">
        <f t="shared" si="10"/>
        <v>488478.58146489074</v>
      </c>
      <c r="J31" s="38">
        <f t="shared" si="10"/>
        <v>1099272.767843792</v>
      </c>
      <c r="K31" s="38">
        <f t="shared" si="10"/>
        <v>258318.62717049514</v>
      </c>
      <c r="L31" s="38"/>
    </row>
    <row r="32" spans="1:12" ht="15.75" x14ac:dyDescent="0.25">
      <c r="A32" s="45" t="s">
        <v>4</v>
      </c>
      <c r="B32" s="38">
        <f>B29*$C22</f>
        <v>14084.899925602895</v>
      </c>
      <c r="C32" s="38">
        <f>C29*$C22</f>
        <v>31696.675173736683</v>
      </c>
      <c r="D32" s="38">
        <f>D29*$C22</f>
        <v>71330.234675158383</v>
      </c>
      <c r="E32" s="38">
        <f>E29*$C22</f>
        <v>160521.643072173</v>
      </c>
      <c r="F32" s="38">
        <f>F29*$C22</f>
        <v>361238.09226109058</v>
      </c>
      <c r="G32" s="38">
        <f t="shared" ref="G32:K32" si="11">G29*$C22</f>
        <v>812930.6229550651</v>
      </c>
      <c r="H32" s="38">
        <f t="shared" si="11"/>
        <v>1829420.0193607097</v>
      </c>
      <c r="I32" s="38">
        <f t="shared" si="11"/>
        <v>4116928.9392395457</v>
      </c>
      <c r="J32" s="38">
        <f t="shared" si="11"/>
        <v>9264741.6729761772</v>
      </c>
      <c r="K32" s="38">
        <f t="shared" si="11"/>
        <v>12044164.174869031</v>
      </c>
      <c r="L32" s="38"/>
    </row>
    <row r="33" spans="1:12" ht="15.75" x14ac:dyDescent="0.25">
      <c r="A33" s="45" t="s">
        <v>6</v>
      </c>
      <c r="B33" s="38">
        <f>B30-B31+B32</f>
        <v>33081.493874383697</v>
      </c>
      <c r="C33" s="38">
        <f t="shared" ref="C33:F33" si="12">C30-C31+C32</f>
        <v>74446.632289679997</v>
      </c>
      <c r="D33" s="38">
        <f t="shared" si="12"/>
        <v>167534.78788835608</v>
      </c>
      <c r="E33" s="38">
        <f t="shared" si="12"/>
        <v>377020.48151192616</v>
      </c>
      <c r="F33" s="38">
        <f t="shared" si="12"/>
        <v>848447.33008053619</v>
      </c>
      <c r="G33" s="38">
        <f t="shared" ref="G33:K33" si="13">G30-G31+G32</f>
        <v>1909346.858382863</v>
      </c>
      <c r="H33" s="38">
        <f t="shared" si="13"/>
        <v>4296796.3907323042</v>
      </c>
      <c r="I33" s="38">
        <f t="shared" si="13"/>
        <v>9669515.5950067081</v>
      </c>
      <c r="J33" s="38">
        <f t="shared" si="13"/>
        <v>21760289.140938967</v>
      </c>
      <c r="K33" s="38">
        <f t="shared" si="13"/>
        <v>14980498.779063087</v>
      </c>
      <c r="L33" s="38">
        <f>(K33*(1+$C25))/($C24-$C25)</f>
        <v>436574535.84698135</v>
      </c>
    </row>
    <row r="34" spans="1:12" ht="15.75" x14ac:dyDescent="0.25">
      <c r="A34" s="45" t="s">
        <v>7</v>
      </c>
      <c r="B34" s="41">
        <f>NPV(C24,B33:L33)</f>
        <v>276303227.43449765</v>
      </c>
      <c r="C34" s="39"/>
      <c r="D34" s="39"/>
      <c r="E34" s="39"/>
      <c r="F34" s="39"/>
    </row>
    <row r="35" spans="1:12" ht="15.75" x14ac:dyDescent="0.25">
      <c r="A35" s="45"/>
      <c r="B35" s="31"/>
      <c r="C35" s="40"/>
    </row>
    <row r="36" spans="1:12" ht="15.75" x14ac:dyDescent="0.25">
      <c r="A36" s="45"/>
      <c r="B36" s="31"/>
    </row>
    <row r="37" spans="1:12" ht="15.75" x14ac:dyDescent="0.25">
      <c r="A37" s="45"/>
      <c r="B37" s="31"/>
    </row>
    <row r="38" spans="1:12" ht="15.75" x14ac:dyDescent="0.25">
      <c r="A38" s="45"/>
      <c r="B38" s="31"/>
    </row>
    <row r="39" spans="1:12" ht="15.75" x14ac:dyDescent="0.25">
      <c r="A39" s="45"/>
    </row>
    <row r="40" spans="1:12" ht="15.75" x14ac:dyDescent="0.25">
      <c r="A40" s="54" t="s">
        <v>158</v>
      </c>
    </row>
    <row r="41" spans="1:12" ht="15.75" x14ac:dyDescent="0.25">
      <c r="A41" s="44" t="s">
        <v>152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</row>
    <row r="42" spans="1:12" ht="15.75" x14ac:dyDescent="0.25">
      <c r="A42" s="45"/>
    </row>
    <row r="43" spans="1:12" ht="15.75" x14ac:dyDescent="0.25">
      <c r="A43" s="45"/>
      <c r="D43" s="72" t="s">
        <v>184</v>
      </c>
      <c r="E43" s="55"/>
      <c r="F43" s="73" t="s">
        <v>183</v>
      </c>
      <c r="G43" s="74"/>
      <c r="H43" s="74"/>
    </row>
    <row r="44" spans="1:12" ht="15.75" x14ac:dyDescent="0.25">
      <c r="A44" s="46" t="s">
        <v>15</v>
      </c>
      <c r="C44" s="29" t="s">
        <v>20</v>
      </c>
      <c r="D44" s="29" t="s">
        <v>21</v>
      </c>
      <c r="E44" s="36" t="s">
        <v>27</v>
      </c>
      <c r="F44" s="37" t="s">
        <v>16</v>
      </c>
      <c r="G44" s="37" t="s">
        <v>17</v>
      </c>
      <c r="H44" s="37" t="s">
        <v>18</v>
      </c>
    </row>
    <row r="45" spans="1:12" ht="15.75" x14ac:dyDescent="0.25">
      <c r="A45" s="45" t="s">
        <v>12</v>
      </c>
      <c r="C45" s="32">
        <f>F45</f>
        <v>3.31928350777521E-2</v>
      </c>
      <c r="D45" s="32">
        <v>7.0000000000000007E-2</v>
      </c>
      <c r="E45" s="28">
        <v>2025</v>
      </c>
      <c r="F45" s="32">
        <f>ZoomFinancials!F$15</f>
        <v>3.31928350777521E-2</v>
      </c>
      <c r="G45" s="32">
        <f>ZoomFinancials!G$15</f>
        <v>8.0671728309986944E-3</v>
      </c>
      <c r="H45" s="32">
        <f>ZoomFinancials!H$15</f>
        <v>3.31928350777521E-2</v>
      </c>
    </row>
    <row r="46" spans="1:12" ht="15.75" x14ac:dyDescent="0.25">
      <c r="A46" s="45" t="s">
        <v>8</v>
      </c>
      <c r="C46" s="32">
        <f>F46</f>
        <v>1.2504011630299123</v>
      </c>
      <c r="D46" s="32">
        <v>0.4</v>
      </c>
      <c r="E46" s="28">
        <v>2024</v>
      </c>
      <c r="F46" s="32">
        <f>ZoomFinancials!F$5</f>
        <v>1.2504011630299123</v>
      </c>
      <c r="G46" s="32">
        <f>ZoomFinancials!G$5</f>
        <v>1.2017393568275785</v>
      </c>
      <c r="H46" s="32">
        <f>ZoomFinancials!H$5</f>
        <v>1.4907180558067645</v>
      </c>
    </row>
    <row r="47" spans="1:12" ht="15.75" x14ac:dyDescent="0.25">
      <c r="A47" s="45" t="s">
        <v>13</v>
      </c>
      <c r="C47" s="32">
        <f>F47</f>
        <v>2.2620603807552292E-2</v>
      </c>
      <c r="F47" s="32">
        <f>ZoomFinancials!F$24</f>
        <v>2.2620603807552292E-2</v>
      </c>
      <c r="G47" s="32">
        <f>ZoomFinancials!G$24</f>
        <v>2.17353975894626E-2</v>
      </c>
      <c r="H47" s="32">
        <f>ZoomFinancials!H$24</f>
        <v>2.6417391248486327E-2</v>
      </c>
    </row>
    <row r="48" spans="1:12" ht="15.75" x14ac:dyDescent="0.25">
      <c r="A48" s="45" t="s">
        <v>14</v>
      </c>
      <c r="C48" s="32">
        <f>F48</f>
        <v>8.0859676610396308E-2</v>
      </c>
      <c r="F48" s="32">
        <f>ZoomFinancials!F$20</f>
        <v>8.0859676610396308E-2</v>
      </c>
      <c r="G48" s="32">
        <f>ZoomFinancials!G$20</f>
        <v>0.24295557380562949</v>
      </c>
      <c r="H48" s="32">
        <f>ZoomFinancials!H$20</f>
        <v>1.0886075949367089</v>
      </c>
    </row>
    <row r="49" spans="1:12" ht="15.75" x14ac:dyDescent="0.25">
      <c r="A49" s="45" t="s">
        <v>9</v>
      </c>
      <c r="C49" s="32">
        <v>5.5E-2</v>
      </c>
    </row>
    <row r="50" spans="1:12" ht="15.75" x14ac:dyDescent="0.25">
      <c r="A50" s="45" t="s">
        <v>10</v>
      </c>
      <c r="C50" s="32">
        <v>0.02</v>
      </c>
    </row>
    <row r="51" spans="1:12" ht="15.75" x14ac:dyDescent="0.25">
      <c r="A51" s="45"/>
      <c r="C51" s="32"/>
    </row>
    <row r="52" spans="1:12" ht="15.75" x14ac:dyDescent="0.25">
      <c r="A52" s="46" t="s">
        <v>57</v>
      </c>
    </row>
    <row r="53" spans="1:12" ht="15.75" x14ac:dyDescent="0.25">
      <c r="A53" s="47" t="s">
        <v>58</v>
      </c>
      <c r="B53" s="27">
        <v>2020</v>
      </c>
      <c r="C53" s="27">
        <f>B53+1</f>
        <v>2021</v>
      </c>
      <c r="D53" s="27">
        <f t="shared" ref="D53" si="14">C53+1</f>
        <v>2022</v>
      </c>
      <c r="E53" s="27">
        <f t="shared" ref="E53" si="15">D53+1</f>
        <v>2023</v>
      </c>
      <c r="F53" s="27">
        <f t="shared" ref="F53" si="16">E53+1</f>
        <v>2024</v>
      </c>
      <c r="G53" s="27">
        <f t="shared" ref="G53" si="17">F53+1</f>
        <v>2025</v>
      </c>
      <c r="H53" s="27">
        <f t="shared" ref="H53" si="18">G53+1</f>
        <v>2026</v>
      </c>
      <c r="I53" s="27">
        <f t="shared" ref="I53" si="19">H53+1</f>
        <v>2027</v>
      </c>
      <c r="J53" s="27">
        <f t="shared" ref="J53" si="20">I53+1</f>
        <v>2028</v>
      </c>
      <c r="K53" s="27">
        <f t="shared" ref="K53" si="21">J53+1</f>
        <v>2029</v>
      </c>
      <c r="L53" s="29" t="s">
        <v>19</v>
      </c>
    </row>
    <row r="54" spans="1:12" ht="15.75" x14ac:dyDescent="0.25">
      <c r="A54" s="45" t="s">
        <v>3</v>
      </c>
      <c r="B54" s="38">
        <f>ZoomFinancials!$B$4</f>
        <v>622658</v>
      </c>
      <c r="C54" s="38">
        <f>B54*(1+IF(C53&gt;$E46-1,$D46,$C46))</f>
        <v>1401230.2873698792</v>
      </c>
      <c r="D54" s="38">
        <f t="shared" ref="D54" si="22">C54*(1+IF(D53&gt;$E46-1,$D46,$C46))</f>
        <v>3153330.2683699145</v>
      </c>
      <c r="E54" s="38">
        <f t="shared" ref="E54" si="23">D54*(1+IF(E53&gt;$E46-1,$D46,$C46))</f>
        <v>7096258.1033570813</v>
      </c>
      <c r="F54" s="38">
        <f t="shared" ref="F54" si="24">E54*(1+IF(F53&gt;$E46-1,$D46,$C46))</f>
        <v>9934761.3446999136</v>
      </c>
      <c r="G54" s="38">
        <f t="shared" ref="G54" si="25">F54*(1+IF(G53&gt;$E46-1,$D46,$C46))</f>
        <v>13908665.882579878</v>
      </c>
      <c r="H54" s="38">
        <f t="shared" ref="H54" si="26">G54*(1+IF(H53&gt;$E46-1,$D46,$C46))</f>
        <v>19472132.235611826</v>
      </c>
      <c r="I54" s="38">
        <f t="shared" ref="I54" si="27">H54*(1+IF(I53&gt;$E46-1,$D46,$C46))</f>
        <v>27260985.129856557</v>
      </c>
      <c r="J54" s="38">
        <f t="shared" ref="J54" si="28">I54*(1+IF(J53&gt;$E46-1,$D46,$C46))</f>
        <v>38165379.181799173</v>
      </c>
      <c r="K54" s="38">
        <f t="shared" ref="K54" si="29">J54*(1+IF(K53&gt;$E46-1,$D46,$C46))</f>
        <v>53431530.854518838</v>
      </c>
      <c r="L54" s="38"/>
    </row>
    <row r="55" spans="1:12" ht="15.75" x14ac:dyDescent="0.25">
      <c r="A55" s="45" t="s">
        <v>11</v>
      </c>
      <c r="B55" s="38">
        <f>B54*IF(B53&gt;$E45-1,$D45,$C45)</f>
        <v>20667.784303842967</v>
      </c>
      <c r="C55" s="38">
        <f t="shared" ref="C55:K55" si="30">C54*IF(C53&gt;$E45-1,$D45,$C45)</f>
        <v>46510.805834619583</v>
      </c>
      <c r="D55" s="38">
        <f t="shared" si="30"/>
        <v>104667.97154368635</v>
      </c>
      <c r="E55" s="38">
        <f t="shared" si="30"/>
        <v>235544.92489389351</v>
      </c>
      <c r="F55" s="38">
        <f t="shared" si="30"/>
        <v>329762.89485145092</v>
      </c>
      <c r="G55" s="38">
        <f t="shared" si="30"/>
        <v>973606.61178059154</v>
      </c>
      <c r="H55" s="38">
        <f t="shared" si="30"/>
        <v>1363049.256492828</v>
      </c>
      <c r="I55" s="38">
        <f t="shared" si="30"/>
        <v>1908268.959089959</v>
      </c>
      <c r="J55" s="38">
        <f t="shared" si="30"/>
        <v>2671576.5427259426</v>
      </c>
      <c r="K55" s="38">
        <f t="shared" si="30"/>
        <v>3740207.1598163191</v>
      </c>
      <c r="L55" s="38"/>
    </row>
    <row r="56" spans="1:12" ht="15.75" x14ac:dyDescent="0.25">
      <c r="A56" s="45" t="s">
        <v>5</v>
      </c>
      <c r="B56" s="38">
        <f>B55*$C48</f>
        <v>1671.1903550621671</v>
      </c>
      <c r="C56" s="38">
        <f>C55*$C48</f>
        <v>3760.8487186762732</v>
      </c>
      <c r="D56" s="38">
        <f>D55*$C48</f>
        <v>8463.418330488641</v>
      </c>
      <c r="E56" s="38">
        <f>E55*$C48</f>
        <v>19046.086454140317</v>
      </c>
      <c r="F56" s="38">
        <f>F55*$C48</f>
        <v>26664.521035796442</v>
      </c>
      <c r="G56" s="38">
        <f t="shared" ref="G56:K56" si="31">G55*$C48</f>
        <v>78725.515774322295</v>
      </c>
      <c r="H56" s="38">
        <f t="shared" si="31"/>
        <v>110215.7220840512</v>
      </c>
      <c r="I56" s="38">
        <f t="shared" si="31"/>
        <v>154302.01091767167</v>
      </c>
      <c r="J56" s="38">
        <f t="shared" si="31"/>
        <v>216022.81528474033</v>
      </c>
      <c r="K56" s="38">
        <f t="shared" si="31"/>
        <v>302431.94139863644</v>
      </c>
      <c r="L56" s="38"/>
    </row>
    <row r="57" spans="1:12" ht="15.75" x14ac:dyDescent="0.25">
      <c r="A57" s="45" t="s">
        <v>4</v>
      </c>
      <c r="B57" s="38">
        <f>B54*$C47</f>
        <v>14084.899925602895</v>
      </c>
      <c r="C57" s="38">
        <f>C54*$C47</f>
        <v>31696.675173736683</v>
      </c>
      <c r="D57" s="38">
        <f>D54*$C47</f>
        <v>71330.234675158383</v>
      </c>
      <c r="E57" s="38">
        <f>E54*$C47</f>
        <v>160521.643072173</v>
      </c>
      <c r="F57" s="38">
        <f>F54*$C47</f>
        <v>224730.30030104218</v>
      </c>
      <c r="G57" s="38">
        <f t="shared" ref="G57:K57" si="32">G54*$C47</f>
        <v>314622.42042145907</v>
      </c>
      <c r="H57" s="38">
        <f t="shared" si="32"/>
        <v>440471.3885900426</v>
      </c>
      <c r="I57" s="38">
        <f t="shared" si="32"/>
        <v>616659.94402605959</v>
      </c>
      <c r="J57" s="38">
        <f t="shared" si="32"/>
        <v>863323.9216364834</v>
      </c>
      <c r="K57" s="38">
        <f t="shared" si="32"/>
        <v>1208653.4902910767</v>
      </c>
      <c r="L57" s="38"/>
    </row>
    <row r="58" spans="1:12" ht="15.75" x14ac:dyDescent="0.25">
      <c r="A58" s="45" t="s">
        <v>6</v>
      </c>
      <c r="B58" s="38">
        <f>B55-B56+B57</f>
        <v>33081.493874383697</v>
      </c>
      <c r="C58" s="38">
        <f t="shared" ref="C58:K58" si="33">C55-C56+C57</f>
        <v>74446.632289679997</v>
      </c>
      <c r="D58" s="38">
        <f t="shared" si="33"/>
        <v>167534.78788835608</v>
      </c>
      <c r="E58" s="38">
        <f t="shared" si="33"/>
        <v>377020.48151192616</v>
      </c>
      <c r="F58" s="38">
        <f t="shared" si="33"/>
        <v>527828.6741166967</v>
      </c>
      <c r="G58" s="38">
        <f t="shared" si="33"/>
        <v>1209503.5164277283</v>
      </c>
      <c r="H58" s="38">
        <f t="shared" si="33"/>
        <v>1693304.9229988195</v>
      </c>
      <c r="I58" s="38">
        <f t="shared" si="33"/>
        <v>2370626.892198347</v>
      </c>
      <c r="J58" s="38">
        <f t="shared" si="33"/>
        <v>3318877.6490776855</v>
      </c>
      <c r="K58" s="38">
        <f t="shared" si="33"/>
        <v>4646428.7087087594</v>
      </c>
      <c r="L58" s="38">
        <f>(K58*(1+$C50))/($C49-$C50)</f>
        <v>135410208.08236954</v>
      </c>
    </row>
    <row r="59" spans="1:12" ht="15.75" x14ac:dyDescent="0.25">
      <c r="A59" s="45" t="s">
        <v>7</v>
      </c>
      <c r="B59" s="41">
        <f>NPV(C49,B58:L58)</f>
        <v>84445584.878864914</v>
      </c>
      <c r="C59" s="39"/>
      <c r="D59" s="39"/>
      <c r="E59" s="39"/>
      <c r="F59" s="39"/>
    </row>
    <row r="60" spans="1:12" ht="15.75" x14ac:dyDescent="0.25">
      <c r="A60" s="45"/>
      <c r="B60" s="31"/>
      <c r="C60" s="40"/>
    </row>
    <row r="61" spans="1:12" ht="15.75" x14ac:dyDescent="0.25">
      <c r="A61" s="45"/>
      <c r="B61" s="31"/>
    </row>
    <row r="62" spans="1:12" ht="15.75" x14ac:dyDescent="0.25">
      <c r="A62" s="45"/>
      <c r="B62" s="31"/>
    </row>
    <row r="63" spans="1:12" ht="15.75" x14ac:dyDescent="0.25">
      <c r="A63" s="45"/>
      <c r="B63" s="31"/>
    </row>
    <row r="64" spans="1:12" ht="15.75" x14ac:dyDescent="0.25">
      <c r="A64" s="45"/>
    </row>
    <row r="65" spans="1:12" ht="15.75" x14ac:dyDescent="0.25">
      <c r="A65" s="48" t="s">
        <v>159</v>
      </c>
    </row>
    <row r="66" spans="1:12" ht="15.75" x14ac:dyDescent="0.25">
      <c r="A66" s="44" t="s">
        <v>153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</row>
    <row r="67" spans="1:12" ht="15.75" x14ac:dyDescent="0.25">
      <c r="A67" s="45"/>
    </row>
    <row r="68" spans="1:12" ht="15.75" x14ac:dyDescent="0.25">
      <c r="A68" s="45"/>
      <c r="D68" s="72" t="s">
        <v>184</v>
      </c>
      <c r="E68" s="55"/>
      <c r="F68" s="73" t="s">
        <v>183</v>
      </c>
      <c r="G68" s="74"/>
      <c r="H68" s="74"/>
    </row>
    <row r="69" spans="1:12" ht="15.75" x14ac:dyDescent="0.25">
      <c r="A69" s="46" t="s">
        <v>15</v>
      </c>
      <c r="C69" s="29" t="s">
        <v>20</v>
      </c>
      <c r="D69" s="29" t="s">
        <v>21</v>
      </c>
      <c r="E69" s="36" t="s">
        <v>27</v>
      </c>
      <c r="F69" s="37" t="s">
        <v>16</v>
      </c>
      <c r="G69" s="37" t="s">
        <v>17</v>
      </c>
      <c r="H69" s="37" t="s">
        <v>18</v>
      </c>
    </row>
    <row r="70" spans="1:12" ht="15.75" x14ac:dyDescent="0.25">
      <c r="A70" s="45" t="s">
        <v>12</v>
      </c>
      <c r="C70" s="32">
        <f>F70</f>
        <v>3.31928350777521E-2</v>
      </c>
      <c r="D70" s="32">
        <v>0.02</v>
      </c>
      <c r="E70" s="28">
        <v>2025</v>
      </c>
      <c r="F70" s="32">
        <f>ZoomFinancials!F$15</f>
        <v>3.31928350777521E-2</v>
      </c>
      <c r="G70" s="32">
        <f>ZoomFinancials!G$15</f>
        <v>8.0671728309986944E-3</v>
      </c>
      <c r="H70" s="32">
        <f>ZoomFinancials!H$15</f>
        <v>3.31928350777521E-2</v>
      </c>
    </row>
    <row r="71" spans="1:12" ht="15.75" x14ac:dyDescent="0.25">
      <c r="A71" s="45" t="s">
        <v>8</v>
      </c>
      <c r="C71" s="32">
        <f>F71</f>
        <v>1.2504011630299123</v>
      </c>
      <c r="D71" s="32">
        <v>0.25</v>
      </c>
      <c r="E71" s="28">
        <v>2022</v>
      </c>
      <c r="F71" s="32">
        <f>ZoomFinancials!F$5</f>
        <v>1.2504011630299123</v>
      </c>
      <c r="G71" s="32">
        <f>ZoomFinancials!G$5</f>
        <v>1.2017393568275785</v>
      </c>
      <c r="H71" s="32">
        <f>ZoomFinancials!H$5</f>
        <v>1.4907180558067645</v>
      </c>
    </row>
    <row r="72" spans="1:12" ht="15.75" x14ac:dyDescent="0.25">
      <c r="A72" s="45" t="s">
        <v>13</v>
      </c>
      <c r="C72" s="32">
        <f>F72</f>
        <v>2.2620603807552292E-2</v>
      </c>
      <c r="F72" s="32">
        <f>ZoomFinancials!F$24</f>
        <v>2.2620603807552292E-2</v>
      </c>
      <c r="G72" s="32">
        <f>ZoomFinancials!G$24</f>
        <v>2.17353975894626E-2</v>
      </c>
      <c r="H72" s="32">
        <f>ZoomFinancials!H$24</f>
        <v>2.6417391248486327E-2</v>
      </c>
    </row>
    <row r="73" spans="1:12" ht="15.75" x14ac:dyDescent="0.25">
      <c r="A73" s="45" t="s">
        <v>14</v>
      </c>
      <c r="C73" s="32">
        <f>F73</f>
        <v>8.0859676610396308E-2</v>
      </c>
      <c r="F73" s="32">
        <f>ZoomFinancials!F$20</f>
        <v>8.0859676610396308E-2</v>
      </c>
      <c r="G73" s="32">
        <f>ZoomFinancials!G$20</f>
        <v>0.24295557380562949</v>
      </c>
      <c r="H73" s="32">
        <f>ZoomFinancials!H$20</f>
        <v>1.0886075949367089</v>
      </c>
    </row>
    <row r="74" spans="1:12" ht="15.75" x14ac:dyDescent="0.25">
      <c r="A74" s="45" t="s">
        <v>9</v>
      </c>
      <c r="C74" s="32">
        <v>5.5E-2</v>
      </c>
    </row>
    <row r="75" spans="1:12" ht="15.75" x14ac:dyDescent="0.25">
      <c r="A75" s="45" t="s">
        <v>10</v>
      </c>
      <c r="C75" s="32">
        <v>0.02</v>
      </c>
    </row>
    <row r="76" spans="1:12" ht="15.75" x14ac:dyDescent="0.25">
      <c r="A76" s="45"/>
      <c r="C76" s="32"/>
    </row>
    <row r="77" spans="1:12" ht="15.75" x14ac:dyDescent="0.25">
      <c r="A77" s="46" t="s">
        <v>57</v>
      </c>
    </row>
    <row r="78" spans="1:12" ht="15.75" x14ac:dyDescent="0.25">
      <c r="A78" s="47" t="s">
        <v>58</v>
      </c>
      <c r="B78" s="27">
        <v>2020</v>
      </c>
      <c r="C78" s="27">
        <f>B78+1</f>
        <v>2021</v>
      </c>
      <c r="D78" s="27">
        <f t="shared" ref="D78" si="34">C78+1</f>
        <v>2022</v>
      </c>
      <c r="E78" s="27">
        <f t="shared" ref="E78" si="35">D78+1</f>
        <v>2023</v>
      </c>
      <c r="F78" s="27">
        <f t="shared" ref="F78" si="36">E78+1</f>
        <v>2024</v>
      </c>
      <c r="G78" s="27">
        <f t="shared" ref="G78" si="37">F78+1</f>
        <v>2025</v>
      </c>
      <c r="H78" s="27">
        <f t="shared" ref="H78" si="38">G78+1</f>
        <v>2026</v>
      </c>
      <c r="I78" s="27">
        <f t="shared" ref="I78" si="39">H78+1</f>
        <v>2027</v>
      </c>
      <c r="J78" s="27">
        <f t="shared" ref="J78" si="40">I78+1</f>
        <v>2028</v>
      </c>
      <c r="K78" s="27">
        <f t="shared" ref="K78" si="41">J78+1</f>
        <v>2029</v>
      </c>
      <c r="L78" s="29" t="s">
        <v>19</v>
      </c>
    </row>
    <row r="79" spans="1:12" ht="15.75" x14ac:dyDescent="0.25">
      <c r="A79" s="45" t="s">
        <v>3</v>
      </c>
      <c r="B79" s="38">
        <f>ZoomFinancials!$B$4</f>
        <v>622658</v>
      </c>
      <c r="C79" s="38">
        <f>B79*(1+IF(C78&gt;$E71-1,$D71,$C71))</f>
        <v>1401230.2873698792</v>
      </c>
      <c r="D79" s="38">
        <f t="shared" ref="D79" si="42">C79*(1+IF(D78&gt;$E71-1,$D71,$C71))</f>
        <v>1751537.8592123489</v>
      </c>
      <c r="E79" s="38">
        <f t="shared" ref="E79" si="43">D79*(1+IF(E78&gt;$E71-1,$D71,$C71))</f>
        <v>2189422.3240154362</v>
      </c>
      <c r="F79" s="38">
        <f t="shared" ref="F79" si="44">E79*(1+IF(F78&gt;$E71-1,$D71,$C71))</f>
        <v>2736777.9050192954</v>
      </c>
      <c r="G79" s="38">
        <f t="shared" ref="G79" si="45">F79*(1+IF(G78&gt;$E71-1,$D71,$C71))</f>
        <v>3420972.381274119</v>
      </c>
      <c r="H79" s="38">
        <f t="shared" ref="H79" si="46">G79*(1+IF(H78&gt;$E71-1,$D71,$C71))</f>
        <v>4276215.4765926488</v>
      </c>
      <c r="I79" s="38">
        <f t="shared" ref="I79" si="47">H79*(1+IF(I78&gt;$E71-1,$D71,$C71))</f>
        <v>5345269.345740811</v>
      </c>
      <c r="J79" s="38">
        <f t="shared" ref="J79" si="48">I79*(1+IF(J78&gt;$E71-1,$D71,$C71))</f>
        <v>6681586.6821760135</v>
      </c>
      <c r="K79" s="38">
        <f t="shared" ref="K79" si="49">J79*(1+IF(K78&gt;$E71-1,$D71,$C71))</f>
        <v>8351983.3527200166</v>
      </c>
      <c r="L79" s="38"/>
    </row>
    <row r="80" spans="1:12" ht="15.75" x14ac:dyDescent="0.25">
      <c r="A80" s="45" t="s">
        <v>11</v>
      </c>
      <c r="B80" s="38">
        <f>B79*IF(B78&gt;$E70-1,$D70,$C70)</f>
        <v>20667.784303842967</v>
      </c>
      <c r="C80" s="38">
        <f t="shared" ref="C80:K80" si="50">C79*IF(C78&gt;$E70-1,$D70,$C70)</f>
        <v>46510.805834619583</v>
      </c>
      <c r="D80" s="38">
        <f t="shared" si="50"/>
        <v>58138.507293274473</v>
      </c>
      <c r="E80" s="38">
        <f t="shared" si="50"/>
        <v>72673.134116593093</v>
      </c>
      <c r="F80" s="38">
        <f t="shared" si="50"/>
        <v>90841.417645741371</v>
      </c>
      <c r="G80" s="38">
        <f t="shared" si="50"/>
        <v>68419.447625482382</v>
      </c>
      <c r="H80" s="38">
        <f t="shared" si="50"/>
        <v>85524.309531852981</v>
      </c>
      <c r="I80" s="38">
        <f t="shared" si="50"/>
        <v>106905.38691481622</v>
      </c>
      <c r="J80" s="38">
        <f t="shared" si="50"/>
        <v>133631.73364352027</v>
      </c>
      <c r="K80" s="38">
        <f t="shared" si="50"/>
        <v>167039.66705440034</v>
      </c>
      <c r="L80" s="38"/>
    </row>
    <row r="81" spans="1:12" ht="15.75" x14ac:dyDescent="0.25">
      <c r="A81" s="45" t="s">
        <v>5</v>
      </c>
      <c r="B81" s="38">
        <f>B80*$C73</f>
        <v>1671.1903550621671</v>
      </c>
      <c r="C81" s="38">
        <f>C80*$C73</f>
        <v>3760.8487186762732</v>
      </c>
      <c r="D81" s="38">
        <f>D80*$C73</f>
        <v>4701.0608983453412</v>
      </c>
      <c r="E81" s="38">
        <f>E80*$C73</f>
        <v>5876.3261229316768</v>
      </c>
      <c r="F81" s="38">
        <f>F80*$C73</f>
        <v>7345.4076536645962</v>
      </c>
      <c r="G81" s="38">
        <f t="shared" ref="G81:K81" si="51">G80*$C73</f>
        <v>5532.3744088584526</v>
      </c>
      <c r="H81" s="38">
        <f t="shared" si="51"/>
        <v>6915.4680110730669</v>
      </c>
      <c r="I81" s="38">
        <f t="shared" si="51"/>
        <v>8644.3350138413334</v>
      </c>
      <c r="J81" s="38">
        <f t="shared" si="51"/>
        <v>10805.418767301666</v>
      </c>
      <c r="K81" s="38">
        <f t="shared" si="51"/>
        <v>13506.773459127082</v>
      </c>
      <c r="L81" s="38"/>
    </row>
    <row r="82" spans="1:12" ht="15.75" x14ac:dyDescent="0.25">
      <c r="A82" s="45" t="s">
        <v>4</v>
      </c>
      <c r="B82" s="38">
        <f>B79*$C72</f>
        <v>14084.899925602895</v>
      </c>
      <c r="C82" s="38">
        <f>C79*$C72</f>
        <v>31696.675173736683</v>
      </c>
      <c r="D82" s="38">
        <f>D79*$C72</f>
        <v>39620.843967170847</v>
      </c>
      <c r="E82" s="38">
        <f>E79*$C72</f>
        <v>49526.054958963563</v>
      </c>
      <c r="F82" s="38">
        <f>F79*$C72</f>
        <v>61907.568698704461</v>
      </c>
      <c r="G82" s="38">
        <f t="shared" ref="G82:K82" si="52">G79*$C72</f>
        <v>77384.460873380565</v>
      </c>
      <c r="H82" s="38">
        <f t="shared" si="52"/>
        <v>96730.576091725714</v>
      </c>
      <c r="I82" s="38">
        <f t="shared" si="52"/>
        <v>120913.22011465713</v>
      </c>
      <c r="J82" s="38">
        <f t="shared" si="52"/>
        <v>151141.52514332143</v>
      </c>
      <c r="K82" s="38">
        <f t="shared" si="52"/>
        <v>188926.90642915177</v>
      </c>
      <c r="L82" s="38"/>
    </row>
    <row r="83" spans="1:12" ht="15.75" x14ac:dyDescent="0.25">
      <c r="A83" s="45" t="s">
        <v>6</v>
      </c>
      <c r="B83" s="38">
        <f>B80-B81+B82</f>
        <v>33081.493874383697</v>
      </c>
      <c r="C83" s="38">
        <f t="shared" ref="C83:K83" si="53">C80-C81+C82</f>
        <v>74446.632289679997</v>
      </c>
      <c r="D83" s="38">
        <f t="shared" si="53"/>
        <v>93058.290362099971</v>
      </c>
      <c r="E83" s="38">
        <f t="shared" si="53"/>
        <v>116322.86295262499</v>
      </c>
      <c r="F83" s="38">
        <f t="shared" si="53"/>
        <v>145403.57869078123</v>
      </c>
      <c r="G83" s="38">
        <f t="shared" si="53"/>
        <v>140271.53409000451</v>
      </c>
      <c r="H83" s="38">
        <f t="shared" si="53"/>
        <v>175339.41761250561</v>
      </c>
      <c r="I83" s="38">
        <f t="shared" si="53"/>
        <v>219174.27201563201</v>
      </c>
      <c r="J83" s="38">
        <f t="shared" si="53"/>
        <v>273967.84001954005</v>
      </c>
      <c r="K83" s="38">
        <f t="shared" si="53"/>
        <v>342459.80002442503</v>
      </c>
      <c r="L83" s="38">
        <f>(K83*(1+$C75))/($C74-$C75)</f>
        <v>9980257.0292832442</v>
      </c>
    </row>
    <row r="84" spans="1:12" ht="15.75" x14ac:dyDescent="0.25">
      <c r="A84" s="45" t="s">
        <v>7</v>
      </c>
      <c r="B84" s="31">
        <f>NPV(C74,B83:L83)</f>
        <v>6655570.6239890121</v>
      </c>
      <c r="C84" s="39"/>
      <c r="D84" s="39"/>
      <c r="E84" s="39"/>
      <c r="F84" s="39"/>
    </row>
    <row r="85" spans="1:12" ht="15.75" x14ac:dyDescent="0.25">
      <c r="A85" s="45"/>
      <c r="B85" s="31"/>
      <c r="C85" s="40"/>
    </row>
    <row r="86" spans="1:12" ht="15.75" x14ac:dyDescent="0.25">
      <c r="A86" s="45"/>
      <c r="B86" s="31"/>
    </row>
    <row r="87" spans="1:12" ht="15.75" x14ac:dyDescent="0.25">
      <c r="A87" s="45"/>
      <c r="B87" s="31"/>
    </row>
    <row r="88" spans="1:12" ht="15.75" x14ac:dyDescent="0.25">
      <c r="A88" s="45"/>
      <c r="B88" s="31"/>
    </row>
    <row r="89" spans="1:12" ht="15.75" x14ac:dyDescent="0.25">
      <c r="A89" s="49" t="s">
        <v>160</v>
      </c>
      <c r="B89" s="31"/>
    </row>
    <row r="90" spans="1:12" ht="15.75" x14ac:dyDescent="0.25">
      <c r="A90" s="44" t="s">
        <v>154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</row>
    <row r="91" spans="1:12" ht="15.75" x14ac:dyDescent="0.25">
      <c r="A91" s="45"/>
    </row>
    <row r="92" spans="1:12" ht="15.75" x14ac:dyDescent="0.25">
      <c r="A92" s="45"/>
      <c r="D92" s="72" t="s">
        <v>184</v>
      </c>
      <c r="E92" s="55"/>
      <c r="F92" s="73" t="s">
        <v>183</v>
      </c>
      <c r="G92" s="74"/>
      <c r="H92" s="74"/>
    </row>
    <row r="93" spans="1:12" ht="15.75" x14ac:dyDescent="0.25">
      <c r="A93" s="46" t="s">
        <v>15</v>
      </c>
      <c r="C93" s="29" t="s">
        <v>20</v>
      </c>
      <c r="D93" s="29" t="s">
        <v>21</v>
      </c>
      <c r="E93" s="36" t="s">
        <v>27</v>
      </c>
      <c r="F93" s="37" t="s">
        <v>16</v>
      </c>
      <c r="G93" s="37" t="s">
        <v>17</v>
      </c>
      <c r="H93" s="37" t="s">
        <v>18</v>
      </c>
    </row>
    <row r="94" spans="1:12" ht="15.75" x14ac:dyDescent="0.25">
      <c r="A94" s="45" t="s">
        <v>12</v>
      </c>
      <c r="C94" s="32">
        <f>F94</f>
        <v>3.31928350777521E-2</v>
      </c>
      <c r="D94" s="32">
        <v>0.02</v>
      </c>
      <c r="E94" s="28">
        <v>2025</v>
      </c>
      <c r="F94" s="32">
        <f>ZoomFinancials!F$15</f>
        <v>3.31928350777521E-2</v>
      </c>
      <c r="G94" s="32">
        <f>ZoomFinancials!G$15</f>
        <v>8.0671728309986944E-3</v>
      </c>
      <c r="H94" s="32">
        <f>ZoomFinancials!H$15</f>
        <v>3.31928350777521E-2</v>
      </c>
    </row>
    <row r="95" spans="1:12" ht="15.75" x14ac:dyDescent="0.25">
      <c r="A95" s="45" t="s">
        <v>8</v>
      </c>
      <c r="C95" s="32">
        <f>F95</f>
        <v>1.2504011630299123</v>
      </c>
      <c r="D95" s="32">
        <v>0.35</v>
      </c>
      <c r="E95" s="28">
        <v>2023</v>
      </c>
      <c r="F95" s="32">
        <f>ZoomFinancials!F$5</f>
        <v>1.2504011630299123</v>
      </c>
      <c r="G95" s="32">
        <f>ZoomFinancials!G$5</f>
        <v>1.2017393568275785</v>
      </c>
      <c r="H95" s="32">
        <f>ZoomFinancials!H$5</f>
        <v>1.4907180558067645</v>
      </c>
    </row>
    <row r="96" spans="1:12" ht="15.75" x14ac:dyDescent="0.25">
      <c r="A96" s="45" t="s">
        <v>13</v>
      </c>
      <c r="C96" s="32">
        <f>F96</f>
        <v>2.2620603807552292E-2</v>
      </c>
      <c r="F96" s="32">
        <f>ZoomFinancials!F$24</f>
        <v>2.2620603807552292E-2</v>
      </c>
      <c r="G96" s="32">
        <f>ZoomFinancials!G$24</f>
        <v>2.17353975894626E-2</v>
      </c>
      <c r="H96" s="32">
        <f>ZoomFinancials!H$24</f>
        <v>2.6417391248486327E-2</v>
      </c>
    </row>
    <row r="97" spans="1:12" ht="15.75" x14ac:dyDescent="0.25">
      <c r="A97" s="45" t="s">
        <v>14</v>
      </c>
      <c r="C97" s="32">
        <f>F97</f>
        <v>8.0859676610396308E-2</v>
      </c>
      <c r="F97" s="32">
        <f>ZoomFinancials!F$20</f>
        <v>8.0859676610396308E-2</v>
      </c>
      <c r="G97" s="32">
        <f>ZoomFinancials!G$20</f>
        <v>0.24295557380562949</v>
      </c>
      <c r="H97" s="32">
        <f>ZoomFinancials!H$20</f>
        <v>1.0886075949367089</v>
      </c>
    </row>
    <row r="98" spans="1:12" ht="15.75" x14ac:dyDescent="0.25">
      <c r="A98" s="45" t="s">
        <v>9</v>
      </c>
      <c r="C98" s="32">
        <v>5.5E-2</v>
      </c>
    </row>
    <row r="99" spans="1:12" ht="15.75" x14ac:dyDescent="0.25">
      <c r="A99" s="45" t="s">
        <v>10</v>
      </c>
      <c r="C99" s="32">
        <v>0.02</v>
      </c>
    </row>
    <row r="100" spans="1:12" ht="15.75" x14ac:dyDescent="0.25">
      <c r="A100" s="45"/>
      <c r="C100" s="32"/>
    </row>
    <row r="101" spans="1:12" ht="15.75" x14ac:dyDescent="0.25">
      <c r="A101" s="46" t="s">
        <v>57</v>
      </c>
    </row>
    <row r="102" spans="1:12" ht="15.75" x14ac:dyDescent="0.25">
      <c r="A102" s="47" t="s">
        <v>58</v>
      </c>
      <c r="B102" s="27">
        <v>2020</v>
      </c>
      <c r="C102" s="27">
        <f>B102+1</f>
        <v>2021</v>
      </c>
      <c r="D102" s="27">
        <f t="shared" ref="D102" si="54">C102+1</f>
        <v>2022</v>
      </c>
      <c r="E102" s="27">
        <f t="shared" ref="E102" si="55">D102+1</f>
        <v>2023</v>
      </c>
      <c r="F102" s="27">
        <f t="shared" ref="F102" si="56">E102+1</f>
        <v>2024</v>
      </c>
      <c r="G102" s="27">
        <f t="shared" ref="G102" si="57">F102+1</f>
        <v>2025</v>
      </c>
      <c r="H102" s="27">
        <f t="shared" ref="H102" si="58">G102+1</f>
        <v>2026</v>
      </c>
      <c r="I102" s="27">
        <f t="shared" ref="I102" si="59">H102+1</f>
        <v>2027</v>
      </c>
      <c r="J102" s="27">
        <f t="shared" ref="J102" si="60">I102+1</f>
        <v>2028</v>
      </c>
      <c r="K102" s="27">
        <f t="shared" ref="K102" si="61">J102+1</f>
        <v>2029</v>
      </c>
      <c r="L102" s="29" t="s">
        <v>19</v>
      </c>
    </row>
    <row r="103" spans="1:12" ht="15.75" x14ac:dyDescent="0.25">
      <c r="A103" s="45" t="s">
        <v>3</v>
      </c>
      <c r="B103" s="38">
        <f>ZoomFinancials!$B$4</f>
        <v>622658</v>
      </c>
      <c r="C103" s="38">
        <f>B103*(1+IF(C102&gt;$E95-1,$D95,$C95))</f>
        <v>1401230.2873698792</v>
      </c>
      <c r="D103" s="38">
        <f t="shared" ref="D103" si="62">C103*(1+IF(D102&gt;$E95-1,$D95,$C95))</f>
        <v>3153330.2683699145</v>
      </c>
      <c r="E103" s="38">
        <f t="shared" ref="E103" si="63">D103*(1+IF(E102&gt;$E95-1,$D95,$C95))</f>
        <v>4256995.8622993845</v>
      </c>
      <c r="F103" s="38">
        <f t="shared" ref="F103" si="64">E103*(1+IF(F102&gt;$E95-1,$D95,$C95))</f>
        <v>5746944.4141041692</v>
      </c>
      <c r="G103" s="38">
        <f t="shared" ref="G103" si="65">F103*(1+IF(G102&gt;$E95-1,$D95,$C95))</f>
        <v>7758374.9590406287</v>
      </c>
      <c r="H103" s="38">
        <f t="shared" ref="H103" si="66">G103*(1+IF(H102&gt;$E95-1,$D95,$C95))</f>
        <v>10473806.194704849</v>
      </c>
      <c r="I103" s="38">
        <f t="shared" ref="I103" si="67">H103*(1+IF(I102&gt;$E95-1,$D95,$C95))</f>
        <v>14139638.362851547</v>
      </c>
      <c r="J103" s="38">
        <f t="shared" ref="J103" si="68">I103*(1+IF(J102&gt;$E95-1,$D95,$C95))</f>
        <v>19088511.789849591</v>
      </c>
      <c r="K103" s="38">
        <f t="shared" ref="K103" si="69">J103*(1+IF(K102&gt;$E95-1,$D95,$C95))</f>
        <v>25769490.916296948</v>
      </c>
      <c r="L103" s="38"/>
    </row>
    <row r="104" spans="1:12" ht="15.75" x14ac:dyDescent="0.25">
      <c r="A104" s="45" t="s">
        <v>11</v>
      </c>
      <c r="B104" s="38">
        <f>B103*IF(B102&gt;$E94-1,$D94,$C94)</f>
        <v>20667.784303842967</v>
      </c>
      <c r="C104" s="38">
        <f t="shared" ref="C104:K104" si="70">C103*IF(C102&gt;$E94-1,$D94,$C94)</f>
        <v>46510.805834619583</v>
      </c>
      <c r="D104" s="38">
        <f t="shared" si="70"/>
        <v>104667.97154368635</v>
      </c>
      <c r="E104" s="38">
        <f t="shared" si="70"/>
        <v>141301.76158397656</v>
      </c>
      <c r="F104" s="38">
        <f t="shared" si="70"/>
        <v>190757.37813836837</v>
      </c>
      <c r="G104" s="38">
        <f t="shared" si="70"/>
        <v>155167.49918081259</v>
      </c>
      <c r="H104" s="38">
        <f t="shared" si="70"/>
        <v>209476.12389409699</v>
      </c>
      <c r="I104" s="38">
        <f t="shared" si="70"/>
        <v>282792.76725703094</v>
      </c>
      <c r="J104" s="38">
        <f t="shared" si="70"/>
        <v>381770.23579699179</v>
      </c>
      <c r="K104" s="38">
        <f t="shared" si="70"/>
        <v>515389.81832593895</v>
      </c>
      <c r="L104" s="38"/>
    </row>
    <row r="105" spans="1:12" ht="15.75" x14ac:dyDescent="0.25">
      <c r="A105" s="45" t="s">
        <v>5</v>
      </c>
      <c r="B105" s="38">
        <f>B104*$C97</f>
        <v>1671.1903550621671</v>
      </c>
      <c r="C105" s="38">
        <f>C104*$C97</f>
        <v>3760.8487186762732</v>
      </c>
      <c r="D105" s="38">
        <f>D104*$C97</f>
        <v>8463.418330488641</v>
      </c>
      <c r="E105" s="38">
        <f>E104*$C97</f>
        <v>11425.614746159665</v>
      </c>
      <c r="F105" s="38">
        <f>F104*$C97</f>
        <v>15424.579907315549</v>
      </c>
      <c r="G105" s="38">
        <f t="shared" ref="G105:K105" si="71">G104*$C97</f>
        <v>12546.793804204441</v>
      </c>
      <c r="H105" s="38">
        <f t="shared" si="71"/>
        <v>16938.171635675993</v>
      </c>
      <c r="I105" s="38">
        <f t="shared" si="71"/>
        <v>22866.531708162591</v>
      </c>
      <c r="J105" s="38">
        <f t="shared" si="71"/>
        <v>30869.817806019502</v>
      </c>
      <c r="K105" s="38">
        <f t="shared" si="71"/>
        <v>41674.254038126332</v>
      </c>
      <c r="L105" s="38"/>
    </row>
    <row r="106" spans="1:12" ht="15.75" x14ac:dyDescent="0.25">
      <c r="A106" s="45" t="s">
        <v>4</v>
      </c>
      <c r="B106" s="38">
        <f>B103*$C96</f>
        <v>14084.899925602895</v>
      </c>
      <c r="C106" s="38">
        <f>C103*$C96</f>
        <v>31696.675173736683</v>
      </c>
      <c r="D106" s="38">
        <f>D103*$C96</f>
        <v>71330.234675158383</v>
      </c>
      <c r="E106" s="38">
        <f>E103*$C96</f>
        <v>96295.81681146381</v>
      </c>
      <c r="F106" s="38">
        <f>F103*$C96</f>
        <v>129999.35269547615</v>
      </c>
      <c r="G106" s="38">
        <f t="shared" ref="G106:K106" si="72">G103*$C96</f>
        <v>175499.12613889281</v>
      </c>
      <c r="H106" s="38">
        <f t="shared" si="72"/>
        <v>236923.82028750528</v>
      </c>
      <c r="I106" s="38">
        <f t="shared" si="72"/>
        <v>319847.15738813218</v>
      </c>
      <c r="J106" s="38">
        <f t="shared" si="72"/>
        <v>431793.66247397847</v>
      </c>
      <c r="K106" s="38">
        <f t="shared" si="72"/>
        <v>582921.44433987094</v>
      </c>
      <c r="L106" s="38"/>
    </row>
    <row r="107" spans="1:12" ht="15.75" x14ac:dyDescent="0.25">
      <c r="A107" s="45" t="s">
        <v>6</v>
      </c>
      <c r="B107" s="38">
        <f>B104-B105+B106</f>
        <v>33081.493874383697</v>
      </c>
      <c r="C107" s="38">
        <f t="shared" ref="C107:K107" si="73">C104-C105+C106</f>
        <v>74446.632289679997</v>
      </c>
      <c r="D107" s="38">
        <f t="shared" si="73"/>
        <v>167534.78788835608</v>
      </c>
      <c r="E107" s="38">
        <f t="shared" si="73"/>
        <v>226171.96364928072</v>
      </c>
      <c r="F107" s="38">
        <f t="shared" si="73"/>
        <v>305332.15092652896</v>
      </c>
      <c r="G107" s="38">
        <f t="shared" si="73"/>
        <v>318119.83151550096</v>
      </c>
      <c r="H107" s="38">
        <f t="shared" si="73"/>
        <v>429461.77254592627</v>
      </c>
      <c r="I107" s="38">
        <f t="shared" si="73"/>
        <v>579773.39293700049</v>
      </c>
      <c r="J107" s="38">
        <f t="shared" si="73"/>
        <v>782694.08046495076</v>
      </c>
      <c r="K107" s="38">
        <f t="shared" si="73"/>
        <v>1056637.0086276836</v>
      </c>
      <c r="L107" s="38">
        <f>(K107*(1+$C99))/($C98-$C99)</f>
        <v>30793421.394292496</v>
      </c>
    </row>
    <row r="108" spans="1:12" ht="15.75" x14ac:dyDescent="0.25">
      <c r="A108" s="45" t="s">
        <v>7</v>
      </c>
      <c r="B108" s="41">
        <f>NPV(C98,B107:L107)</f>
        <v>19750426.353804711</v>
      </c>
      <c r="C108" s="39"/>
      <c r="D108" s="39"/>
      <c r="E108" s="39"/>
      <c r="F108" s="39"/>
    </row>
    <row r="109" spans="1:12" ht="15.75" x14ac:dyDescent="0.25">
      <c r="A109" s="45"/>
      <c r="B109" s="31"/>
    </row>
    <row r="110" spans="1:12" ht="15.75" x14ac:dyDescent="0.25">
      <c r="A110" s="45"/>
      <c r="B110" s="31"/>
    </row>
    <row r="111" spans="1:12" ht="15.75" x14ac:dyDescent="0.25">
      <c r="A111" s="45"/>
      <c r="B111" s="31"/>
    </row>
    <row r="112" spans="1:12" ht="15.75" x14ac:dyDescent="0.25">
      <c r="A112" s="45"/>
    </row>
    <row r="113" spans="1:12" ht="15.75" x14ac:dyDescent="0.25">
      <c r="A113" s="50" t="s">
        <v>161</v>
      </c>
    </row>
    <row r="114" spans="1:12" ht="15.75" x14ac:dyDescent="0.25">
      <c r="A114" s="44" t="s">
        <v>155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</row>
    <row r="115" spans="1:12" ht="15.75" x14ac:dyDescent="0.25">
      <c r="A115" s="45"/>
    </row>
    <row r="116" spans="1:12" ht="15.75" x14ac:dyDescent="0.25">
      <c r="A116" s="45"/>
      <c r="D116" s="72" t="s">
        <v>184</v>
      </c>
      <c r="E116" s="55"/>
      <c r="F116" s="73" t="s">
        <v>183</v>
      </c>
      <c r="G116" s="74"/>
      <c r="H116" s="74"/>
    </row>
    <row r="117" spans="1:12" ht="15.75" x14ac:dyDescent="0.25">
      <c r="A117" s="46" t="s">
        <v>15</v>
      </c>
      <c r="C117" s="29" t="s">
        <v>20</v>
      </c>
      <c r="D117" s="29" t="s">
        <v>21</v>
      </c>
      <c r="E117" s="36" t="s">
        <v>27</v>
      </c>
      <c r="F117" s="37" t="s">
        <v>16</v>
      </c>
      <c r="G117" s="37" t="s">
        <v>17</v>
      </c>
      <c r="H117" s="37" t="s">
        <v>18</v>
      </c>
    </row>
    <row r="118" spans="1:12" ht="15.75" x14ac:dyDescent="0.25">
      <c r="A118" s="45" t="s">
        <v>12</v>
      </c>
      <c r="C118" s="32">
        <f>F118</f>
        <v>3.31928350777521E-2</v>
      </c>
      <c r="D118" s="32">
        <v>0.03</v>
      </c>
      <c r="E118" s="28">
        <v>2025</v>
      </c>
      <c r="F118" s="32">
        <f>ZoomFinancials!F$15</f>
        <v>3.31928350777521E-2</v>
      </c>
      <c r="G118" s="32">
        <f>ZoomFinancials!G$15</f>
        <v>8.0671728309986944E-3</v>
      </c>
      <c r="H118" s="32">
        <f>ZoomFinancials!H$15</f>
        <v>3.31928350777521E-2</v>
      </c>
    </row>
    <row r="119" spans="1:12" ht="15.75" x14ac:dyDescent="0.25">
      <c r="A119" s="45" t="s">
        <v>8</v>
      </c>
      <c r="C119" s="32">
        <f>F119</f>
        <v>1.2504011630299123</v>
      </c>
      <c r="D119" s="32">
        <v>0.15</v>
      </c>
      <c r="E119" s="28">
        <v>2023</v>
      </c>
      <c r="F119" s="32">
        <f>ZoomFinancials!F$5</f>
        <v>1.2504011630299123</v>
      </c>
      <c r="G119" s="32">
        <f>ZoomFinancials!G$5</f>
        <v>1.2017393568275785</v>
      </c>
      <c r="H119" s="32">
        <f>ZoomFinancials!H$5</f>
        <v>1.4907180558067645</v>
      </c>
    </row>
    <row r="120" spans="1:12" ht="15.75" x14ac:dyDescent="0.25">
      <c r="A120" s="45" t="s">
        <v>13</v>
      </c>
      <c r="C120" s="32">
        <f>F120</f>
        <v>2.2620603807552292E-2</v>
      </c>
      <c r="F120" s="32">
        <f>ZoomFinancials!F$24</f>
        <v>2.2620603807552292E-2</v>
      </c>
      <c r="G120" s="32">
        <f>ZoomFinancials!G$24</f>
        <v>2.17353975894626E-2</v>
      </c>
      <c r="H120" s="32">
        <f>ZoomFinancials!H$24</f>
        <v>2.6417391248486327E-2</v>
      </c>
    </row>
    <row r="121" spans="1:12" ht="15.75" x14ac:dyDescent="0.25">
      <c r="A121" s="45" t="s">
        <v>14</v>
      </c>
      <c r="C121" s="32">
        <f>F121</f>
        <v>8.0859676610396308E-2</v>
      </c>
      <c r="F121" s="32">
        <f>ZoomFinancials!F$20</f>
        <v>8.0859676610396308E-2</v>
      </c>
      <c r="G121" s="32">
        <f>ZoomFinancials!G$20</f>
        <v>0.24295557380562949</v>
      </c>
      <c r="H121" s="32">
        <f>ZoomFinancials!H$20</f>
        <v>1.0886075949367089</v>
      </c>
    </row>
    <row r="122" spans="1:12" ht="15.75" x14ac:dyDescent="0.25">
      <c r="A122" s="45" t="s">
        <v>9</v>
      </c>
      <c r="C122" s="32">
        <v>5.5E-2</v>
      </c>
    </row>
    <row r="123" spans="1:12" ht="15.75" x14ac:dyDescent="0.25">
      <c r="A123" s="45" t="s">
        <v>10</v>
      </c>
      <c r="C123" s="32">
        <v>0.02</v>
      </c>
    </row>
    <row r="124" spans="1:12" ht="15.75" x14ac:dyDescent="0.25">
      <c r="A124" s="45"/>
      <c r="C124" s="32"/>
    </row>
    <row r="125" spans="1:12" ht="15.75" x14ac:dyDescent="0.25">
      <c r="A125" s="46" t="s">
        <v>57</v>
      </c>
    </row>
    <row r="126" spans="1:12" ht="15.75" x14ac:dyDescent="0.25">
      <c r="A126" s="47" t="s">
        <v>58</v>
      </c>
      <c r="B126" s="27">
        <v>2020</v>
      </c>
      <c r="C126" s="27">
        <f>B126+1</f>
        <v>2021</v>
      </c>
      <c r="D126" s="27">
        <f t="shared" ref="D126" si="74">C126+1</f>
        <v>2022</v>
      </c>
      <c r="E126" s="27">
        <f t="shared" ref="E126" si="75">D126+1</f>
        <v>2023</v>
      </c>
      <c r="F126" s="27">
        <f t="shared" ref="F126" si="76">E126+1</f>
        <v>2024</v>
      </c>
      <c r="G126" s="27">
        <f t="shared" ref="G126" si="77">F126+1</f>
        <v>2025</v>
      </c>
      <c r="H126" s="27">
        <f t="shared" ref="H126" si="78">G126+1</f>
        <v>2026</v>
      </c>
      <c r="I126" s="27">
        <f t="shared" ref="I126" si="79">H126+1</f>
        <v>2027</v>
      </c>
      <c r="J126" s="27">
        <f t="shared" ref="J126" si="80">I126+1</f>
        <v>2028</v>
      </c>
      <c r="K126" s="27">
        <f t="shared" ref="K126" si="81">J126+1</f>
        <v>2029</v>
      </c>
      <c r="L126" s="29" t="s">
        <v>19</v>
      </c>
    </row>
    <row r="127" spans="1:12" ht="15.75" x14ac:dyDescent="0.25">
      <c r="A127" s="45" t="s">
        <v>3</v>
      </c>
      <c r="B127" s="38">
        <f>ZoomFinancials!$B$4</f>
        <v>622658</v>
      </c>
      <c r="C127" s="38">
        <f>B127*(1+IF(C126&gt;$E119-1,$D119,$C119))</f>
        <v>1401230.2873698792</v>
      </c>
      <c r="D127" s="38">
        <f t="shared" ref="D127" si="82">C127*(1+IF(D126&gt;$E119-1,$D119,$C119))</f>
        <v>3153330.2683699145</v>
      </c>
      <c r="E127" s="38">
        <f t="shared" ref="E127" si="83">D127*(1+IF(E126&gt;$E119-1,$D119,$C119))</f>
        <v>3626329.8086254015</v>
      </c>
      <c r="F127" s="38">
        <f t="shared" ref="F127" si="84">E127*(1+IF(F126&gt;$E119-1,$D119,$C119))</f>
        <v>4170279.2799192113</v>
      </c>
      <c r="G127" s="38">
        <f t="shared" ref="G127" si="85">F127*(1+IF(G126&gt;$E119-1,$D119,$C119))</f>
        <v>4795821.1719070924</v>
      </c>
      <c r="H127" s="38">
        <f t="shared" ref="H127" si="86">G127*(1+IF(H126&gt;$E119-1,$D119,$C119))</f>
        <v>5515194.3476931555</v>
      </c>
      <c r="I127" s="38">
        <f t="shared" ref="I127" si="87">H127*(1+IF(I126&gt;$E119-1,$D119,$C119))</f>
        <v>6342473.4998471281</v>
      </c>
      <c r="J127" s="38">
        <f t="shared" ref="J127" si="88">I127*(1+IF(J126&gt;$E119-1,$D119,$C119))</f>
        <v>7293844.5248241965</v>
      </c>
      <c r="K127" s="38">
        <f t="shared" ref="K127" si="89">J127*(1+IF(K126&gt;$E119-1,$D119,$C119))</f>
        <v>8387921.2035478251</v>
      </c>
      <c r="L127" s="38"/>
    </row>
    <row r="128" spans="1:12" ht="15.75" x14ac:dyDescent="0.25">
      <c r="A128" s="45" t="s">
        <v>11</v>
      </c>
      <c r="B128" s="38">
        <f>B127*IF(B126&gt;$E118-1,$D118,$C118)</f>
        <v>20667.784303842967</v>
      </c>
      <c r="C128" s="38">
        <f t="shared" ref="C128:K128" si="90">C127*IF(C126&gt;$E118-1,$D118,$C118)</f>
        <v>46510.805834619583</v>
      </c>
      <c r="D128" s="38">
        <f t="shared" si="90"/>
        <v>104667.97154368635</v>
      </c>
      <c r="E128" s="38">
        <f t="shared" si="90"/>
        <v>120368.16727523929</v>
      </c>
      <c r="F128" s="38">
        <f t="shared" si="90"/>
        <v>138423.39236652516</v>
      </c>
      <c r="G128" s="38">
        <f t="shared" si="90"/>
        <v>143874.63515721276</v>
      </c>
      <c r="H128" s="38">
        <f t="shared" si="90"/>
        <v>165455.83043079465</v>
      </c>
      <c r="I128" s="38">
        <f t="shared" si="90"/>
        <v>190274.20499541383</v>
      </c>
      <c r="J128" s="38">
        <f t="shared" si="90"/>
        <v>218815.33574472589</v>
      </c>
      <c r="K128" s="38">
        <f t="shared" si="90"/>
        <v>251637.63610643474</v>
      </c>
      <c r="L128" s="38"/>
    </row>
    <row r="129" spans="1:12" ht="15.75" x14ac:dyDescent="0.25">
      <c r="A129" s="45" t="s">
        <v>5</v>
      </c>
      <c r="B129" s="38">
        <f>B128*$C121</f>
        <v>1671.1903550621671</v>
      </c>
      <c r="C129" s="38">
        <f>C128*$C121</f>
        <v>3760.8487186762732</v>
      </c>
      <c r="D129" s="38">
        <f>D128*$C121</f>
        <v>8463.418330488641</v>
      </c>
      <c r="E129" s="38">
        <f>E128*$C121</f>
        <v>9732.9310800619369</v>
      </c>
      <c r="F129" s="38">
        <f>F128*$C121</f>
        <v>11192.870742071225</v>
      </c>
      <c r="G129" s="38">
        <f t="shared" ref="G129:K129" si="91">G128*$C121</f>
        <v>11633.656471250979</v>
      </c>
      <c r="H129" s="38">
        <f t="shared" si="91"/>
        <v>13378.704941938624</v>
      </c>
      <c r="I129" s="38">
        <f t="shared" si="91"/>
        <v>15385.510683229417</v>
      </c>
      <c r="J129" s="38">
        <f t="shared" si="91"/>
        <v>17693.337285713827</v>
      </c>
      <c r="K129" s="38">
        <f t="shared" si="91"/>
        <v>20347.337878570899</v>
      </c>
      <c r="L129" s="38"/>
    </row>
    <row r="130" spans="1:12" ht="15.75" x14ac:dyDescent="0.25">
      <c r="A130" s="45" t="s">
        <v>4</v>
      </c>
      <c r="B130" s="38">
        <f>B127*$C120</f>
        <v>14084.899925602895</v>
      </c>
      <c r="C130" s="38">
        <f>C127*$C120</f>
        <v>31696.675173736683</v>
      </c>
      <c r="D130" s="38">
        <f>D127*$C120</f>
        <v>71330.234675158383</v>
      </c>
      <c r="E130" s="38">
        <f>E127*$C120</f>
        <v>82029.769876432125</v>
      </c>
      <c r="F130" s="38">
        <f>F127*$C120</f>
        <v>94334.235357896934</v>
      </c>
      <c r="G130" s="38">
        <f t="shared" ref="G130:K130" si="92">G127*$C120</f>
        <v>108484.37066158147</v>
      </c>
      <c r="H130" s="38">
        <f t="shared" si="92"/>
        <v>124757.02626081867</v>
      </c>
      <c r="I130" s="38">
        <f t="shared" si="92"/>
        <v>143470.58019994147</v>
      </c>
      <c r="J130" s="38">
        <f t="shared" si="92"/>
        <v>164991.16722993265</v>
      </c>
      <c r="K130" s="38">
        <f t="shared" si="92"/>
        <v>189739.84231442254</v>
      </c>
      <c r="L130" s="38"/>
    </row>
    <row r="131" spans="1:12" ht="15.75" x14ac:dyDescent="0.25">
      <c r="A131" s="45" t="s">
        <v>6</v>
      </c>
      <c r="B131" s="38">
        <f>B128-B129+B130</f>
        <v>33081.493874383697</v>
      </c>
      <c r="C131" s="38">
        <f t="shared" ref="C131:K131" si="93">C128-C129+C130</f>
        <v>74446.632289679997</v>
      </c>
      <c r="D131" s="38">
        <f t="shared" si="93"/>
        <v>167534.78788835608</v>
      </c>
      <c r="E131" s="38">
        <f t="shared" si="93"/>
        <v>192665.00607160947</v>
      </c>
      <c r="F131" s="38">
        <f t="shared" si="93"/>
        <v>221564.75698235087</v>
      </c>
      <c r="G131" s="38">
        <f t="shared" si="93"/>
        <v>240725.34934754326</v>
      </c>
      <c r="H131" s="38">
        <f t="shared" si="93"/>
        <v>276834.1517496747</v>
      </c>
      <c r="I131" s="38">
        <f t="shared" si="93"/>
        <v>318359.27451212588</v>
      </c>
      <c r="J131" s="38">
        <f t="shared" si="93"/>
        <v>366113.16568894475</v>
      </c>
      <c r="K131" s="38">
        <f t="shared" si="93"/>
        <v>421030.14054228639</v>
      </c>
      <c r="L131" s="38">
        <f>(K131*(1+$C123))/($C122-$C123)</f>
        <v>12270021.238660917</v>
      </c>
    </row>
    <row r="132" spans="1:12" ht="15.75" x14ac:dyDescent="0.25">
      <c r="A132" s="45" t="s">
        <v>7</v>
      </c>
      <c r="B132" s="31">
        <f>NPV(C122,B131:L131)</f>
        <v>8419671.1155809592</v>
      </c>
      <c r="C132" s="39"/>
      <c r="D132" s="39"/>
      <c r="E132" s="39"/>
      <c r="F132" s="39"/>
    </row>
    <row r="133" spans="1:12" ht="15.75" x14ac:dyDescent="0.25">
      <c r="A133" s="45"/>
      <c r="B133" s="31"/>
      <c r="C133" s="39"/>
      <c r="D133" s="39"/>
      <c r="E133" s="39"/>
      <c r="F133" s="39"/>
    </row>
    <row r="134" spans="1:12" ht="15.75" x14ac:dyDescent="0.25">
      <c r="A134" s="45"/>
      <c r="B134" s="31"/>
      <c r="C134" s="39"/>
      <c r="D134" s="39"/>
      <c r="E134" s="39"/>
      <c r="F134" s="39"/>
    </row>
    <row r="135" spans="1:12" ht="15.75" x14ac:dyDescent="0.25">
      <c r="A135" s="45"/>
      <c r="B135" s="31"/>
      <c r="C135" s="39"/>
      <c r="D135" s="39"/>
      <c r="E135" s="39"/>
      <c r="F135" s="39"/>
    </row>
    <row r="136" spans="1:12" ht="15.75" x14ac:dyDescent="0.25">
      <c r="A136" s="45"/>
      <c r="B136" s="31"/>
      <c r="C136" s="39"/>
      <c r="D136" s="39"/>
      <c r="E136" s="39"/>
      <c r="F136" s="39"/>
    </row>
    <row r="137" spans="1:12" ht="15.75" x14ac:dyDescent="0.25">
      <c r="A137" s="51" t="s">
        <v>162</v>
      </c>
      <c r="B137" s="31"/>
      <c r="C137" s="39"/>
      <c r="D137" s="39"/>
      <c r="E137" s="39"/>
      <c r="F137" s="39"/>
    </row>
    <row r="138" spans="1:12" ht="15.75" x14ac:dyDescent="0.25">
      <c r="A138" s="44" t="s">
        <v>156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</row>
    <row r="139" spans="1:12" ht="15.75" x14ac:dyDescent="0.25">
      <c r="A139" s="45"/>
    </row>
    <row r="140" spans="1:12" ht="15.75" x14ac:dyDescent="0.25">
      <c r="A140" s="45"/>
      <c r="D140" s="72" t="s">
        <v>184</v>
      </c>
      <c r="E140" s="55"/>
      <c r="F140" s="73" t="s">
        <v>183</v>
      </c>
      <c r="G140" s="74"/>
      <c r="H140" s="74"/>
    </row>
    <row r="141" spans="1:12" ht="15.75" x14ac:dyDescent="0.25">
      <c r="A141" s="46" t="s">
        <v>15</v>
      </c>
      <c r="C141" s="29" t="s">
        <v>20</v>
      </c>
      <c r="D141" s="29" t="s">
        <v>21</v>
      </c>
      <c r="E141" s="36" t="s">
        <v>27</v>
      </c>
      <c r="F141" s="37" t="s">
        <v>16</v>
      </c>
      <c r="G141" s="37" t="s">
        <v>17</v>
      </c>
      <c r="H141" s="37" t="s">
        <v>18</v>
      </c>
    </row>
    <row r="142" spans="1:12" ht="15.75" x14ac:dyDescent="0.25">
      <c r="A142" s="45" t="s">
        <v>12</v>
      </c>
      <c r="C142" s="32">
        <f>F142</f>
        <v>3.31928350777521E-2</v>
      </c>
      <c r="D142" s="32">
        <v>0.03</v>
      </c>
      <c r="E142" s="28">
        <v>2025</v>
      </c>
      <c r="F142" s="32">
        <f>ZoomFinancials!F$15</f>
        <v>3.31928350777521E-2</v>
      </c>
      <c r="G142" s="32">
        <f>ZoomFinancials!G$15</f>
        <v>8.0671728309986944E-3</v>
      </c>
      <c r="H142" s="32">
        <f>ZoomFinancials!H$15</f>
        <v>3.31928350777521E-2</v>
      </c>
    </row>
    <row r="143" spans="1:12" ht="15.75" x14ac:dyDescent="0.25">
      <c r="A143" s="45" t="s">
        <v>8</v>
      </c>
      <c r="C143" s="32">
        <f>F143</f>
        <v>1.2504011630299123</v>
      </c>
      <c r="D143" s="32">
        <v>0.25</v>
      </c>
      <c r="E143" s="28">
        <v>2023</v>
      </c>
      <c r="F143" s="32">
        <f>ZoomFinancials!F$5</f>
        <v>1.2504011630299123</v>
      </c>
      <c r="G143" s="32">
        <f>ZoomFinancials!G$5</f>
        <v>1.2017393568275785</v>
      </c>
      <c r="H143" s="32">
        <f>ZoomFinancials!H$5</f>
        <v>1.4907180558067645</v>
      </c>
    </row>
    <row r="144" spans="1:12" ht="15.75" x14ac:dyDescent="0.25">
      <c r="A144" s="45" t="s">
        <v>13</v>
      </c>
      <c r="C144" s="32">
        <f>F144</f>
        <v>2.2620603807552292E-2</v>
      </c>
      <c r="F144" s="32">
        <f>ZoomFinancials!F$24</f>
        <v>2.2620603807552292E-2</v>
      </c>
      <c r="G144" s="32">
        <f>ZoomFinancials!G$24</f>
        <v>2.17353975894626E-2</v>
      </c>
      <c r="H144" s="32">
        <f>ZoomFinancials!H$24</f>
        <v>2.6417391248486327E-2</v>
      </c>
    </row>
    <row r="145" spans="1:12" ht="15.75" x14ac:dyDescent="0.25">
      <c r="A145" s="45" t="s">
        <v>14</v>
      </c>
      <c r="C145" s="32">
        <f>F145</f>
        <v>8.0859676610396308E-2</v>
      </c>
      <c r="F145" s="32">
        <f>ZoomFinancials!F$20</f>
        <v>8.0859676610396308E-2</v>
      </c>
      <c r="G145" s="32">
        <f>ZoomFinancials!G$20</f>
        <v>0.24295557380562949</v>
      </c>
      <c r="H145" s="32">
        <f>ZoomFinancials!H$20</f>
        <v>1.0886075949367089</v>
      </c>
    </row>
    <row r="146" spans="1:12" ht="15.75" x14ac:dyDescent="0.25">
      <c r="A146" s="45" t="s">
        <v>9</v>
      </c>
      <c r="C146" s="32">
        <v>5.5E-2</v>
      </c>
    </row>
    <row r="147" spans="1:12" ht="15.75" x14ac:dyDescent="0.25">
      <c r="A147" s="45" t="s">
        <v>10</v>
      </c>
      <c r="C147" s="32">
        <v>0.02</v>
      </c>
    </row>
    <row r="148" spans="1:12" ht="15.75" x14ac:dyDescent="0.25">
      <c r="A148" s="45"/>
      <c r="C148" s="32"/>
    </row>
    <row r="149" spans="1:12" ht="15.75" x14ac:dyDescent="0.25">
      <c r="A149" s="46" t="s">
        <v>57</v>
      </c>
    </row>
    <row r="150" spans="1:12" ht="15.75" x14ac:dyDescent="0.25">
      <c r="A150" s="47" t="s">
        <v>58</v>
      </c>
      <c r="B150" s="27">
        <v>2020</v>
      </c>
      <c r="C150" s="27">
        <f>B150+1</f>
        <v>2021</v>
      </c>
      <c r="D150" s="27">
        <f t="shared" ref="D150" si="94">C150+1</f>
        <v>2022</v>
      </c>
      <c r="E150" s="27">
        <f t="shared" ref="E150" si="95">D150+1</f>
        <v>2023</v>
      </c>
      <c r="F150" s="27">
        <f t="shared" ref="F150" si="96">E150+1</f>
        <v>2024</v>
      </c>
      <c r="G150" s="27">
        <f t="shared" ref="G150" si="97">F150+1</f>
        <v>2025</v>
      </c>
      <c r="H150" s="27">
        <f t="shared" ref="H150" si="98">G150+1</f>
        <v>2026</v>
      </c>
      <c r="I150" s="27">
        <f t="shared" ref="I150" si="99">H150+1</f>
        <v>2027</v>
      </c>
      <c r="J150" s="27">
        <f t="shared" ref="J150" si="100">I150+1</f>
        <v>2028</v>
      </c>
      <c r="K150" s="27">
        <f t="shared" ref="K150" si="101">J150+1</f>
        <v>2029</v>
      </c>
      <c r="L150" s="29" t="s">
        <v>19</v>
      </c>
    </row>
    <row r="151" spans="1:12" ht="15.75" x14ac:dyDescent="0.25">
      <c r="A151" s="45" t="s">
        <v>3</v>
      </c>
      <c r="B151" s="38">
        <f>ZoomFinancials!$B$4</f>
        <v>622658</v>
      </c>
      <c r="C151" s="38">
        <f>B151*(1+IF(C150&gt;$E143-1,$D143,$C143))</f>
        <v>1401230.2873698792</v>
      </c>
      <c r="D151" s="38">
        <f t="shared" ref="D151" si="102">C151*(1+IF(D150&gt;$E143-1,$D143,$C143))</f>
        <v>3153330.2683699145</v>
      </c>
      <c r="E151" s="38">
        <f t="shared" ref="E151" si="103">D151*(1+IF(E150&gt;$E143-1,$D143,$C143))</f>
        <v>3941662.8354623932</v>
      </c>
      <c r="F151" s="38">
        <f t="shared" ref="F151" si="104">E151*(1+IF(F150&gt;$E143-1,$D143,$C143))</f>
        <v>4927078.5443279911</v>
      </c>
      <c r="G151" s="38">
        <f t="shared" ref="G151" si="105">F151*(1+IF(G150&gt;$E143-1,$D143,$C143))</f>
        <v>6158848.1804099884</v>
      </c>
      <c r="H151" s="38">
        <f t="shared" ref="H151" si="106">G151*(1+IF(H150&gt;$E143-1,$D143,$C143))</f>
        <v>7698560.225512486</v>
      </c>
      <c r="I151" s="38">
        <f t="shared" ref="I151" si="107">H151*(1+IF(I150&gt;$E143-1,$D143,$C143))</f>
        <v>9623200.2818906084</v>
      </c>
      <c r="J151" s="38">
        <f t="shared" ref="J151" si="108">I151*(1+IF(J150&gt;$E143-1,$D143,$C143))</f>
        <v>12029000.35236326</v>
      </c>
      <c r="K151" s="38">
        <f t="shared" ref="K151" si="109">J151*(1+IF(K150&gt;$E143-1,$D143,$C143))</f>
        <v>15036250.440454075</v>
      </c>
      <c r="L151" s="38"/>
    </row>
    <row r="152" spans="1:12" ht="15.75" x14ac:dyDescent="0.25">
      <c r="A152" s="45" t="s">
        <v>11</v>
      </c>
      <c r="B152" s="38">
        <f>B151*IF(B150&gt;$E142-1,$D142,$C142)</f>
        <v>20667.784303842967</v>
      </c>
      <c r="C152" s="38">
        <f t="shared" ref="C152:K152" si="110">C151*IF(C150&gt;$E142-1,$D142,$C142)</f>
        <v>46510.805834619583</v>
      </c>
      <c r="D152" s="38">
        <f t="shared" si="110"/>
        <v>104667.97154368635</v>
      </c>
      <c r="E152" s="38">
        <f t="shared" si="110"/>
        <v>130834.96442960794</v>
      </c>
      <c r="F152" s="38">
        <f t="shared" si="110"/>
        <v>163543.7055370099</v>
      </c>
      <c r="G152" s="38">
        <f t="shared" si="110"/>
        <v>184765.44541229965</v>
      </c>
      <c r="H152" s="38">
        <f t="shared" si="110"/>
        <v>230956.80676537458</v>
      </c>
      <c r="I152" s="38">
        <f t="shared" si="110"/>
        <v>288696.00845671823</v>
      </c>
      <c r="J152" s="38">
        <f t="shared" si="110"/>
        <v>360870.01057089778</v>
      </c>
      <c r="K152" s="38">
        <f t="shared" si="110"/>
        <v>451087.51321362221</v>
      </c>
      <c r="L152" s="38"/>
    </row>
    <row r="153" spans="1:12" ht="15.75" x14ac:dyDescent="0.25">
      <c r="A153" s="45" t="s">
        <v>5</v>
      </c>
      <c r="B153" s="38">
        <f>B152*$C145</f>
        <v>1671.1903550621671</v>
      </c>
      <c r="C153" s="38">
        <f>C152*$C145</f>
        <v>3760.8487186762732</v>
      </c>
      <c r="D153" s="38">
        <f>D152*$C145</f>
        <v>8463.418330488641</v>
      </c>
      <c r="E153" s="38">
        <f>E152*$C145</f>
        <v>10579.272913110803</v>
      </c>
      <c r="F153" s="38">
        <f>F152*$C145</f>
        <v>13224.091141388501</v>
      </c>
      <c r="G153" s="38">
        <f t="shared" ref="G153:K153" si="111">G152*$C145</f>
        <v>14940.074164814383</v>
      </c>
      <c r="H153" s="38">
        <f t="shared" si="111"/>
        <v>18675.092706017978</v>
      </c>
      <c r="I153" s="38">
        <f t="shared" si="111"/>
        <v>23343.865882522474</v>
      </c>
      <c r="J153" s="38">
        <f t="shared" si="111"/>
        <v>29179.832353153091</v>
      </c>
      <c r="K153" s="38">
        <f t="shared" si="111"/>
        <v>36474.790441441364</v>
      </c>
      <c r="L153" s="38"/>
    </row>
    <row r="154" spans="1:12" ht="15.75" x14ac:dyDescent="0.25">
      <c r="A154" s="45" t="s">
        <v>4</v>
      </c>
      <c r="B154" s="38">
        <f>B151*$C144</f>
        <v>14084.899925602895</v>
      </c>
      <c r="C154" s="38">
        <f>C151*$C144</f>
        <v>31696.675173736683</v>
      </c>
      <c r="D154" s="38">
        <f>D151*$C144</f>
        <v>71330.234675158383</v>
      </c>
      <c r="E154" s="38">
        <f>E151*$C144</f>
        <v>89162.793343947982</v>
      </c>
      <c r="F154" s="38">
        <f>F151*$C144</f>
        <v>111453.49167993496</v>
      </c>
      <c r="G154" s="38">
        <f t="shared" ref="G154:K154" si="112">G151*$C144</f>
        <v>139316.86459991868</v>
      </c>
      <c r="H154" s="38">
        <f t="shared" si="112"/>
        <v>174146.08074989836</v>
      </c>
      <c r="I154" s="38">
        <f t="shared" si="112"/>
        <v>217682.60093737298</v>
      </c>
      <c r="J154" s="38">
        <f t="shared" si="112"/>
        <v>272103.25117171626</v>
      </c>
      <c r="K154" s="38">
        <f t="shared" si="112"/>
        <v>340129.06396464526</v>
      </c>
      <c r="L154" s="38"/>
    </row>
    <row r="155" spans="1:12" ht="15.75" x14ac:dyDescent="0.25">
      <c r="A155" s="45" t="s">
        <v>6</v>
      </c>
      <c r="B155" s="38">
        <f>B152-B153+B154</f>
        <v>33081.493874383697</v>
      </c>
      <c r="C155" s="38">
        <f t="shared" ref="C155:K155" si="113">C152-C153+C154</f>
        <v>74446.632289679997</v>
      </c>
      <c r="D155" s="38">
        <f t="shared" si="113"/>
        <v>167534.78788835608</v>
      </c>
      <c r="E155" s="38">
        <f t="shared" si="113"/>
        <v>209418.48486044511</v>
      </c>
      <c r="F155" s="38">
        <f t="shared" si="113"/>
        <v>261773.10607555637</v>
      </c>
      <c r="G155" s="38">
        <f t="shared" si="113"/>
        <v>309142.23584740399</v>
      </c>
      <c r="H155" s="38">
        <f t="shared" si="113"/>
        <v>386427.79480925493</v>
      </c>
      <c r="I155" s="38">
        <f t="shared" si="113"/>
        <v>483034.74351156875</v>
      </c>
      <c r="J155" s="38">
        <f t="shared" si="113"/>
        <v>603793.42938946094</v>
      </c>
      <c r="K155" s="38">
        <f t="shared" si="113"/>
        <v>754741.78673682618</v>
      </c>
      <c r="L155" s="38">
        <f>(K155*(1+$C147))/($C146-$C147)</f>
        <v>21995332.070616074</v>
      </c>
    </row>
    <row r="156" spans="1:12" ht="15.75" x14ac:dyDescent="0.25">
      <c r="A156" s="45" t="s">
        <v>7</v>
      </c>
      <c r="B156" s="41">
        <f>NPV(C146,B155:L155)</f>
        <v>14435060.111334557</v>
      </c>
      <c r="C156" s="39"/>
      <c r="D156" s="39"/>
      <c r="E156" s="39"/>
      <c r="F156" s="39"/>
    </row>
    <row r="157" spans="1:12" ht="15.75" x14ac:dyDescent="0.25">
      <c r="A157" s="45"/>
      <c r="B157" s="31"/>
      <c r="C157" s="39"/>
      <c r="D157" s="39"/>
      <c r="E157" s="39"/>
      <c r="F157" s="39"/>
    </row>
    <row r="158" spans="1:12" ht="15.75" x14ac:dyDescent="0.25">
      <c r="A158" s="45"/>
      <c r="B158" s="31"/>
      <c r="C158" s="39"/>
      <c r="D158" s="39"/>
      <c r="E158" s="39"/>
      <c r="F158" s="39"/>
    </row>
    <row r="159" spans="1:12" ht="15.75" x14ac:dyDescent="0.25">
      <c r="A159" s="45"/>
      <c r="B159" s="31"/>
      <c r="C159" s="39"/>
      <c r="D159" s="39"/>
      <c r="E159" s="39"/>
      <c r="F159" s="39"/>
    </row>
    <row r="160" spans="1:12" ht="15.75" x14ac:dyDescent="0.25">
      <c r="A160" s="45"/>
      <c r="B160" s="31"/>
      <c r="C160" s="39"/>
      <c r="D160" s="39"/>
      <c r="E160" s="39"/>
      <c r="F160" s="39"/>
    </row>
    <row r="161" spans="1:12" ht="15.75" x14ac:dyDescent="0.25">
      <c r="A161" s="52" t="s">
        <v>163</v>
      </c>
      <c r="B161" s="31"/>
      <c r="C161" s="39"/>
      <c r="D161" s="39"/>
      <c r="E161" s="39"/>
      <c r="F161" s="39"/>
    </row>
    <row r="162" spans="1:12" ht="15.75" x14ac:dyDescent="0.25">
      <c r="A162" s="44" t="s">
        <v>157</v>
      </c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</row>
    <row r="163" spans="1:12" ht="15.75" x14ac:dyDescent="0.25">
      <c r="A163" s="45"/>
    </row>
    <row r="164" spans="1:12" ht="15.75" x14ac:dyDescent="0.25">
      <c r="A164" s="45"/>
      <c r="D164" s="72" t="s">
        <v>184</v>
      </c>
      <c r="E164" s="55"/>
      <c r="F164" s="73" t="s">
        <v>183</v>
      </c>
      <c r="G164" s="74"/>
      <c r="H164" s="74"/>
    </row>
    <row r="165" spans="1:12" ht="15.75" x14ac:dyDescent="0.25">
      <c r="A165" s="46" t="s">
        <v>15</v>
      </c>
      <c r="C165" s="29" t="s">
        <v>20</v>
      </c>
      <c r="D165" s="29" t="s">
        <v>21</v>
      </c>
      <c r="E165" s="36" t="s">
        <v>27</v>
      </c>
      <c r="F165" s="37" t="s">
        <v>16</v>
      </c>
      <c r="G165" s="37" t="s">
        <v>17</v>
      </c>
      <c r="H165" s="37" t="s">
        <v>18</v>
      </c>
    </row>
    <row r="166" spans="1:12" ht="15.75" x14ac:dyDescent="0.25">
      <c r="A166" s="45" t="s">
        <v>12</v>
      </c>
      <c r="C166" s="32">
        <f>F166</f>
        <v>3.31928350777521E-2</v>
      </c>
      <c r="D166" s="32">
        <v>0.02</v>
      </c>
      <c r="E166" s="28">
        <v>2023</v>
      </c>
      <c r="F166" s="32">
        <f>ZoomFinancials!F$15</f>
        <v>3.31928350777521E-2</v>
      </c>
      <c r="G166" s="32">
        <f>ZoomFinancials!G$15</f>
        <v>8.0671728309986944E-3</v>
      </c>
      <c r="H166" s="32">
        <f>ZoomFinancials!H$15</f>
        <v>3.31928350777521E-2</v>
      </c>
    </row>
    <row r="167" spans="1:12" ht="15.75" x14ac:dyDescent="0.25">
      <c r="A167" s="45" t="s">
        <v>8</v>
      </c>
      <c r="C167" s="32">
        <f>F167</f>
        <v>1.2504011630299123</v>
      </c>
      <c r="D167" s="32">
        <v>0.3</v>
      </c>
      <c r="E167" s="28">
        <v>2023</v>
      </c>
      <c r="F167" s="32">
        <f>ZoomFinancials!F$5</f>
        <v>1.2504011630299123</v>
      </c>
      <c r="G167" s="32">
        <f>ZoomFinancials!G$5</f>
        <v>1.2017393568275785</v>
      </c>
      <c r="H167" s="32">
        <f>ZoomFinancials!H$5</f>
        <v>1.4907180558067645</v>
      </c>
    </row>
    <row r="168" spans="1:12" ht="15.75" x14ac:dyDescent="0.25">
      <c r="A168" s="45" t="s">
        <v>13</v>
      </c>
      <c r="C168" s="32">
        <f>F168</f>
        <v>2.2620603807552292E-2</v>
      </c>
      <c r="F168" s="32">
        <f>ZoomFinancials!F$24</f>
        <v>2.2620603807552292E-2</v>
      </c>
      <c r="G168" s="32">
        <f>ZoomFinancials!G$24</f>
        <v>2.17353975894626E-2</v>
      </c>
      <c r="H168" s="32">
        <f>ZoomFinancials!H$24</f>
        <v>2.6417391248486327E-2</v>
      </c>
    </row>
    <row r="169" spans="1:12" ht="15.75" x14ac:dyDescent="0.25">
      <c r="A169" s="45" t="s">
        <v>14</v>
      </c>
      <c r="C169" s="32">
        <f>F169</f>
        <v>8.0859676610396308E-2</v>
      </c>
      <c r="F169" s="32">
        <f>ZoomFinancials!F$20</f>
        <v>8.0859676610396308E-2</v>
      </c>
      <c r="G169" s="32">
        <f>ZoomFinancials!G$20</f>
        <v>0.24295557380562949</v>
      </c>
      <c r="H169" s="32">
        <f>ZoomFinancials!H$20</f>
        <v>1.0886075949367089</v>
      </c>
    </row>
    <row r="170" spans="1:12" ht="15.75" x14ac:dyDescent="0.25">
      <c r="A170" s="45" t="s">
        <v>9</v>
      </c>
      <c r="C170" s="32">
        <v>5.5E-2</v>
      </c>
    </row>
    <row r="171" spans="1:12" ht="15.75" x14ac:dyDescent="0.25">
      <c r="A171" s="45" t="s">
        <v>10</v>
      </c>
      <c r="C171" s="32">
        <v>0.02</v>
      </c>
    </row>
    <row r="172" spans="1:12" ht="15.75" x14ac:dyDescent="0.25">
      <c r="A172" s="45"/>
      <c r="C172" s="32"/>
    </row>
    <row r="173" spans="1:12" ht="15.75" x14ac:dyDescent="0.25">
      <c r="A173" s="46" t="s">
        <v>57</v>
      </c>
    </row>
    <row r="174" spans="1:12" ht="15.75" x14ac:dyDescent="0.25">
      <c r="A174" s="47" t="s">
        <v>58</v>
      </c>
      <c r="B174" s="27">
        <v>2020</v>
      </c>
      <c r="C174" s="27">
        <f>B174+1</f>
        <v>2021</v>
      </c>
      <c r="D174" s="27">
        <f t="shared" ref="D174" si="114">C174+1</f>
        <v>2022</v>
      </c>
      <c r="E174" s="27">
        <f t="shared" ref="E174" si="115">D174+1</f>
        <v>2023</v>
      </c>
      <c r="F174" s="27">
        <f t="shared" ref="F174" si="116">E174+1</f>
        <v>2024</v>
      </c>
      <c r="G174" s="27">
        <f t="shared" ref="G174" si="117">F174+1</f>
        <v>2025</v>
      </c>
      <c r="H174" s="27">
        <f t="shared" ref="H174" si="118">G174+1</f>
        <v>2026</v>
      </c>
      <c r="I174" s="27">
        <f t="shared" ref="I174" si="119">H174+1</f>
        <v>2027</v>
      </c>
      <c r="J174" s="27">
        <f t="shared" ref="J174" si="120">I174+1</f>
        <v>2028</v>
      </c>
      <c r="K174" s="27">
        <f t="shared" ref="K174" si="121">J174+1</f>
        <v>2029</v>
      </c>
      <c r="L174" s="29" t="s">
        <v>19</v>
      </c>
    </row>
    <row r="175" spans="1:12" ht="15.75" x14ac:dyDescent="0.25">
      <c r="A175" s="45" t="s">
        <v>3</v>
      </c>
      <c r="B175" s="38">
        <f>ZoomFinancials!$B$4</f>
        <v>622658</v>
      </c>
      <c r="C175" s="38">
        <f>B175*(1+IF(C174&gt;$E167-1,$D167,$C167))</f>
        <v>1401230.2873698792</v>
      </c>
      <c r="D175" s="38">
        <f t="shared" ref="D175" si="122">C175*(1+IF(D174&gt;$E167-1,$D167,$C167))</f>
        <v>3153330.2683699145</v>
      </c>
      <c r="E175" s="38">
        <f t="shared" ref="E175" si="123">D175*(1+IF(E174&gt;$E167-1,$D167,$C167))</f>
        <v>4099329.3488808889</v>
      </c>
      <c r="F175" s="38">
        <f t="shared" ref="F175" si="124">E175*(1+IF(F174&gt;$E167-1,$D167,$C167))</f>
        <v>5329128.1535451561</v>
      </c>
      <c r="G175" s="38">
        <f t="shared" ref="G175" si="125">F175*(1+IF(G174&gt;$E167-1,$D167,$C167))</f>
        <v>6927866.5996087035</v>
      </c>
      <c r="H175" s="38">
        <f t="shared" ref="H175" si="126">G175*(1+IF(H174&gt;$E167-1,$D167,$C167))</f>
        <v>9006226.5794913154</v>
      </c>
      <c r="I175" s="38">
        <f t="shared" ref="I175" si="127">H175*(1+IF(I174&gt;$E167-1,$D167,$C167))</f>
        <v>11708094.55333871</v>
      </c>
      <c r="J175" s="38">
        <f t="shared" ref="J175" si="128">I175*(1+IF(J174&gt;$E167-1,$D167,$C167))</f>
        <v>15220522.919340324</v>
      </c>
      <c r="K175" s="38">
        <f t="shared" ref="K175" si="129">J175*(1+IF(K174&gt;$E167-1,$D167,$C167))</f>
        <v>19786679.79514242</v>
      </c>
      <c r="L175" s="38"/>
    </row>
    <row r="176" spans="1:12" ht="15.75" x14ac:dyDescent="0.25">
      <c r="A176" s="45" t="s">
        <v>11</v>
      </c>
      <c r="B176" s="38">
        <f>B175*IF(B174&gt;$E166-1,$D166,$C166)</f>
        <v>20667.784303842967</v>
      </c>
      <c r="C176" s="38">
        <f t="shared" ref="C176:K176" si="130">C175*IF(C174&gt;$E166-1,$D166,$C166)</f>
        <v>46510.805834619583</v>
      </c>
      <c r="D176" s="38">
        <f t="shared" si="130"/>
        <v>104667.97154368635</v>
      </c>
      <c r="E176" s="38">
        <f t="shared" si="130"/>
        <v>81986.586977617786</v>
      </c>
      <c r="F176" s="38">
        <f t="shared" si="130"/>
        <v>106582.56307090312</v>
      </c>
      <c r="G176" s="38">
        <f t="shared" si="130"/>
        <v>138557.33199217406</v>
      </c>
      <c r="H176" s="38">
        <f t="shared" si="130"/>
        <v>180124.53158982631</v>
      </c>
      <c r="I176" s="38">
        <f t="shared" si="130"/>
        <v>234161.8910667742</v>
      </c>
      <c r="J176" s="38">
        <f t="shared" si="130"/>
        <v>304410.45838680648</v>
      </c>
      <c r="K176" s="38">
        <f t="shared" si="130"/>
        <v>395733.59590284841</v>
      </c>
      <c r="L176" s="38"/>
    </row>
    <row r="177" spans="1:12" ht="15.75" x14ac:dyDescent="0.25">
      <c r="A177" s="45" t="s">
        <v>5</v>
      </c>
      <c r="B177" s="38">
        <f>B176*$C169</f>
        <v>1671.1903550621671</v>
      </c>
      <c r="C177" s="38">
        <f>C176*$C169</f>
        <v>3760.8487186762732</v>
      </c>
      <c r="D177" s="38">
        <f>D176*$C169</f>
        <v>8463.418330488641</v>
      </c>
      <c r="E177" s="38">
        <f>E176*$C169</f>
        <v>6629.4089094003039</v>
      </c>
      <c r="F177" s="38">
        <f>F176*$C169</f>
        <v>8618.2315822203946</v>
      </c>
      <c r="G177" s="38">
        <f t="shared" ref="G177:K177" si="131">G176*$C169</f>
        <v>11203.701056886513</v>
      </c>
      <c r="H177" s="38">
        <f t="shared" si="131"/>
        <v>14564.811373952469</v>
      </c>
      <c r="I177" s="38">
        <f t="shared" si="131"/>
        <v>18934.254786138212</v>
      </c>
      <c r="J177" s="38">
        <f t="shared" si="131"/>
        <v>24614.531221979676</v>
      </c>
      <c r="K177" s="38">
        <f t="shared" si="131"/>
        <v>31998.890588573577</v>
      </c>
      <c r="L177" s="38"/>
    </row>
    <row r="178" spans="1:12" ht="15.75" x14ac:dyDescent="0.25">
      <c r="A178" s="45" t="s">
        <v>4</v>
      </c>
      <c r="B178" s="38">
        <f>B175*$C168</f>
        <v>14084.899925602895</v>
      </c>
      <c r="C178" s="38">
        <f>C175*$C168</f>
        <v>31696.675173736683</v>
      </c>
      <c r="D178" s="38">
        <f>D175*$C168</f>
        <v>71330.234675158383</v>
      </c>
      <c r="E178" s="38">
        <f>E175*$C168</f>
        <v>92729.305077705896</v>
      </c>
      <c r="F178" s="38">
        <f>F175*$C168</f>
        <v>120548.09660101768</v>
      </c>
      <c r="G178" s="38">
        <f t="shared" ref="G178:K178" si="132">G175*$C168</f>
        <v>156712.52558132299</v>
      </c>
      <c r="H178" s="38">
        <f t="shared" si="132"/>
        <v>203726.2832557199</v>
      </c>
      <c r="I178" s="38">
        <f t="shared" si="132"/>
        <v>264844.16823243588</v>
      </c>
      <c r="J178" s="38">
        <f t="shared" si="132"/>
        <v>344297.41870216664</v>
      </c>
      <c r="K178" s="38">
        <f t="shared" si="132"/>
        <v>447586.64431281661</v>
      </c>
      <c r="L178" s="38"/>
    </row>
    <row r="179" spans="1:12" ht="15.75" x14ac:dyDescent="0.25">
      <c r="A179" s="45" t="s">
        <v>6</v>
      </c>
      <c r="B179" s="38">
        <f>B176-B177+B178</f>
        <v>33081.493874383697</v>
      </c>
      <c r="C179" s="38">
        <f t="shared" ref="C179:K179" si="133">C176-C177+C178</f>
        <v>74446.632289679997</v>
      </c>
      <c r="D179" s="38">
        <f t="shared" si="133"/>
        <v>167534.78788835608</v>
      </c>
      <c r="E179" s="38">
        <f t="shared" si="133"/>
        <v>168086.48314592338</v>
      </c>
      <c r="F179" s="38">
        <f t="shared" si="133"/>
        <v>218512.42808970041</v>
      </c>
      <c r="G179" s="38">
        <f t="shared" si="133"/>
        <v>284066.15651661053</v>
      </c>
      <c r="H179" s="38">
        <f t="shared" si="133"/>
        <v>369286.00347159372</v>
      </c>
      <c r="I179" s="38">
        <f t="shared" si="133"/>
        <v>480071.8045130719</v>
      </c>
      <c r="J179" s="38">
        <f t="shared" si="133"/>
        <v>624093.34586699342</v>
      </c>
      <c r="K179" s="38">
        <f t="shared" si="133"/>
        <v>811321.34962709143</v>
      </c>
      <c r="L179" s="38">
        <f>(K179*(1+$C171))/($C170-$C171)</f>
        <v>23644222.189132378</v>
      </c>
    </row>
    <row r="180" spans="1:12" ht="15.75" x14ac:dyDescent="0.25">
      <c r="A180" s="45" t="s">
        <v>7</v>
      </c>
      <c r="B180" s="38">
        <f>NPV(C170,B179:L179)</f>
        <v>15297342.800369034</v>
      </c>
      <c r="C180" s="38"/>
      <c r="D180" s="38"/>
      <c r="E180" s="38"/>
      <c r="F180" s="38"/>
      <c r="G180" s="38"/>
      <c r="H180" s="38"/>
      <c r="I180" s="38"/>
      <c r="J180" s="38"/>
      <c r="K180" s="38"/>
      <c r="L180" s="38"/>
    </row>
    <row r="181" spans="1:12" ht="15.75" x14ac:dyDescent="0.25">
      <c r="A181" s="45"/>
      <c r="B181" s="31"/>
      <c r="C181" s="40"/>
    </row>
    <row r="182" spans="1:12" ht="15.75" x14ac:dyDescent="0.25">
      <c r="A182" s="45"/>
      <c r="B182" s="31"/>
    </row>
    <row r="183" spans="1:12" ht="15.75" x14ac:dyDescent="0.25">
      <c r="A183" s="45"/>
      <c r="B183" s="31"/>
    </row>
    <row r="184" spans="1:12" ht="15.75" x14ac:dyDescent="0.25">
      <c r="A184" s="45"/>
      <c r="B184" s="31"/>
    </row>
    <row r="185" spans="1:12" ht="15.75" x14ac:dyDescent="0.25">
      <c r="A185" s="45"/>
    </row>
    <row r="186" spans="1:12" ht="15.75" x14ac:dyDescent="0.25">
      <c r="A186" s="53" t="s">
        <v>164</v>
      </c>
    </row>
    <row r="187" spans="1:12" ht="15.75" x14ac:dyDescent="0.25">
      <c r="A187" s="44" t="s">
        <v>127</v>
      </c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</row>
    <row r="188" spans="1:12" ht="15.75" x14ac:dyDescent="0.25">
      <c r="A188" s="45"/>
    </row>
    <row r="189" spans="1:12" ht="15.75" x14ac:dyDescent="0.25">
      <c r="A189" s="45"/>
      <c r="D189" s="72" t="s">
        <v>184</v>
      </c>
      <c r="E189" s="55"/>
      <c r="F189" s="73" t="s">
        <v>183</v>
      </c>
      <c r="G189" s="74"/>
      <c r="H189" s="74"/>
    </row>
    <row r="190" spans="1:12" ht="15.75" x14ac:dyDescent="0.25">
      <c r="A190" s="46" t="s">
        <v>15</v>
      </c>
      <c r="C190" s="29" t="s">
        <v>20</v>
      </c>
      <c r="D190" s="29" t="s">
        <v>21</v>
      </c>
      <c r="E190" s="36" t="s">
        <v>27</v>
      </c>
      <c r="F190" s="37" t="s">
        <v>16</v>
      </c>
      <c r="G190" s="37" t="s">
        <v>17</v>
      </c>
      <c r="H190" s="37" t="s">
        <v>18</v>
      </c>
    </row>
    <row r="191" spans="1:12" ht="15.75" x14ac:dyDescent="0.25">
      <c r="A191" s="45" t="s">
        <v>12</v>
      </c>
      <c r="C191" s="32">
        <f>F191</f>
        <v>3.31928350777521E-2</v>
      </c>
      <c r="D191" s="32">
        <v>0.02</v>
      </c>
      <c r="E191" s="28">
        <v>2023</v>
      </c>
      <c r="F191" s="32">
        <f>ZoomFinancials!F$15</f>
        <v>3.31928350777521E-2</v>
      </c>
      <c r="G191" s="32">
        <f>ZoomFinancials!G$15</f>
        <v>8.0671728309986944E-3</v>
      </c>
      <c r="H191" s="32">
        <f>ZoomFinancials!H$15</f>
        <v>3.31928350777521E-2</v>
      </c>
    </row>
    <row r="192" spans="1:12" ht="15.75" x14ac:dyDescent="0.25">
      <c r="A192" s="45" t="s">
        <v>8</v>
      </c>
      <c r="C192" s="32">
        <f>F192</f>
        <v>1.2504011630299123</v>
      </c>
      <c r="D192" s="32">
        <v>0.1</v>
      </c>
      <c r="E192" s="28">
        <v>2022</v>
      </c>
      <c r="F192" s="32">
        <f>ZoomFinancials!F$5</f>
        <v>1.2504011630299123</v>
      </c>
      <c r="G192" s="32">
        <f>ZoomFinancials!G$5</f>
        <v>1.2017393568275785</v>
      </c>
      <c r="H192" s="32">
        <f>ZoomFinancials!H$5</f>
        <v>1.4907180558067645</v>
      </c>
    </row>
    <row r="193" spans="1:13" ht="15.75" x14ac:dyDescent="0.25">
      <c r="A193" s="45" t="s">
        <v>13</v>
      </c>
      <c r="C193" s="32">
        <f>F193</f>
        <v>2.2620603807552292E-2</v>
      </c>
      <c r="F193" s="32">
        <f>ZoomFinancials!F$24</f>
        <v>2.2620603807552292E-2</v>
      </c>
      <c r="G193" s="32">
        <f>ZoomFinancials!G$24</f>
        <v>2.17353975894626E-2</v>
      </c>
      <c r="H193" s="32">
        <f>ZoomFinancials!H$24</f>
        <v>2.6417391248486327E-2</v>
      </c>
    </row>
    <row r="194" spans="1:13" ht="15.75" x14ac:dyDescent="0.25">
      <c r="A194" s="45" t="s">
        <v>14</v>
      </c>
      <c r="C194" s="32">
        <f>F194</f>
        <v>8.0859676610396308E-2</v>
      </c>
      <c r="F194" s="32">
        <f>ZoomFinancials!F$20</f>
        <v>8.0859676610396308E-2</v>
      </c>
      <c r="G194" s="32">
        <f>ZoomFinancials!G$20</f>
        <v>0.24295557380562949</v>
      </c>
      <c r="H194" s="32">
        <f>ZoomFinancials!H$20</f>
        <v>1.0886075949367089</v>
      </c>
    </row>
    <row r="195" spans="1:13" ht="15.75" x14ac:dyDescent="0.25">
      <c r="A195" s="45" t="s">
        <v>9</v>
      </c>
      <c r="C195" s="32">
        <v>5.5E-2</v>
      </c>
    </row>
    <row r="196" spans="1:13" ht="15.75" x14ac:dyDescent="0.25">
      <c r="A196" s="45" t="s">
        <v>10</v>
      </c>
      <c r="C196" s="32">
        <v>0.02</v>
      </c>
    </row>
    <row r="197" spans="1:13" ht="15.75" x14ac:dyDescent="0.25">
      <c r="A197" s="45"/>
      <c r="C197" s="32"/>
    </row>
    <row r="198" spans="1:13" ht="15.75" x14ac:dyDescent="0.25">
      <c r="A198" s="46" t="s">
        <v>57</v>
      </c>
    </row>
    <row r="199" spans="1:13" ht="15.75" x14ac:dyDescent="0.25">
      <c r="A199" s="47" t="s">
        <v>58</v>
      </c>
      <c r="B199" s="27">
        <v>2020</v>
      </c>
      <c r="C199" s="27">
        <f>B199+1</f>
        <v>2021</v>
      </c>
      <c r="D199" s="27">
        <f t="shared" ref="D199" si="134">C199+1</f>
        <v>2022</v>
      </c>
      <c r="E199" s="27">
        <f t="shared" ref="E199" si="135">D199+1</f>
        <v>2023</v>
      </c>
      <c r="F199" s="27">
        <f t="shared" ref="F199" si="136">E199+1</f>
        <v>2024</v>
      </c>
      <c r="G199" s="27">
        <f t="shared" ref="G199" si="137">F199+1</f>
        <v>2025</v>
      </c>
      <c r="H199" s="27">
        <f t="shared" ref="H199" si="138">G199+1</f>
        <v>2026</v>
      </c>
      <c r="I199" s="27">
        <f t="shared" ref="I199" si="139">H199+1</f>
        <v>2027</v>
      </c>
      <c r="J199" s="27">
        <f t="shared" ref="J199" si="140">I199+1</f>
        <v>2028</v>
      </c>
      <c r="K199" s="27">
        <f t="shared" ref="K199" si="141">J199+1</f>
        <v>2029</v>
      </c>
      <c r="L199" s="29" t="s">
        <v>19</v>
      </c>
    </row>
    <row r="200" spans="1:13" ht="15.75" x14ac:dyDescent="0.25">
      <c r="A200" s="45" t="s">
        <v>3</v>
      </c>
      <c r="B200" s="38">
        <f>ZoomFinancials!$B$4</f>
        <v>622658</v>
      </c>
      <c r="C200" s="38">
        <f>B200*(1+IF(C199&gt;$E192-1,$D192,$C192))</f>
        <v>1401230.2873698792</v>
      </c>
      <c r="D200" s="38">
        <f t="shared" ref="D200" si="142">C200*(1+IF(D199&gt;$E192-1,$D192,$C192))</f>
        <v>1541353.3161068673</v>
      </c>
      <c r="E200" s="38">
        <f t="shared" ref="E200" si="143">D200*(1+IF(E199&gt;$E192-1,$D192,$C192))</f>
        <v>1695488.6477175541</v>
      </c>
      <c r="F200" s="38">
        <f t="shared" ref="F200" si="144">E200*(1+IF(F199&gt;$E192-1,$D192,$C192))</f>
        <v>1865037.5124893098</v>
      </c>
      <c r="G200" s="38">
        <f t="shared" ref="G200" si="145">F200*(1+IF(G199&gt;$E192-1,$D192,$C192))</f>
        <v>2051541.2637382408</v>
      </c>
      <c r="H200" s="38">
        <f t="shared" ref="H200" si="146">G200*(1+IF(H199&gt;$E192-1,$D192,$C192))</f>
        <v>2256695.3901120652</v>
      </c>
      <c r="I200" s="38">
        <f t="shared" ref="I200" si="147">H200*(1+IF(I199&gt;$E192-1,$D192,$C192))</f>
        <v>2482364.9291232722</v>
      </c>
      <c r="J200" s="38">
        <f t="shared" ref="J200" si="148">I200*(1+IF(J199&gt;$E192-1,$D192,$C192))</f>
        <v>2730601.4220355996</v>
      </c>
      <c r="K200" s="38">
        <f t="shared" ref="K200" si="149">J200*(1+IF(K199&gt;$E192-1,$D192,$C192))</f>
        <v>3003661.5642391597</v>
      </c>
      <c r="L200" s="38"/>
      <c r="M200" s="38"/>
    </row>
    <row r="201" spans="1:13" ht="15.75" x14ac:dyDescent="0.25">
      <c r="A201" s="45" t="s">
        <v>11</v>
      </c>
      <c r="B201" s="38">
        <f>B200*IF(B199&gt;$E191-1,$D191,$C191)</f>
        <v>20667.784303842967</v>
      </c>
      <c r="C201" s="38">
        <f t="shared" ref="C201:K201" si="150">C200*IF(C199&gt;$E191-1,$D191,$C191)</f>
        <v>46510.805834619583</v>
      </c>
      <c r="D201" s="38">
        <f t="shared" si="150"/>
        <v>51161.886418081544</v>
      </c>
      <c r="E201" s="38">
        <f t="shared" si="150"/>
        <v>33909.77295435108</v>
      </c>
      <c r="F201" s="38">
        <f t="shared" si="150"/>
        <v>37300.750249786193</v>
      </c>
      <c r="G201" s="38">
        <f t="shared" si="150"/>
        <v>41030.825274764815</v>
      </c>
      <c r="H201" s="38">
        <f t="shared" si="150"/>
        <v>45133.907802241309</v>
      </c>
      <c r="I201" s="38">
        <f t="shared" si="150"/>
        <v>49647.298582465446</v>
      </c>
      <c r="J201" s="38">
        <f t="shared" si="150"/>
        <v>54612.028440711991</v>
      </c>
      <c r="K201" s="38">
        <f t="shared" si="150"/>
        <v>60073.231284783193</v>
      </c>
      <c r="L201" s="38"/>
      <c r="M201" s="38"/>
    </row>
    <row r="202" spans="1:13" ht="15.75" x14ac:dyDescent="0.25">
      <c r="A202" s="45" t="s">
        <v>5</v>
      </c>
      <c r="B202" s="38">
        <f>B201*$C194</f>
        <v>1671.1903550621671</v>
      </c>
      <c r="C202" s="38">
        <f>C201*$C194</f>
        <v>3760.8487186762732</v>
      </c>
      <c r="D202" s="38">
        <f>D201*$C194</f>
        <v>4136.9335905439011</v>
      </c>
      <c r="E202" s="38">
        <f>E201*$C194</f>
        <v>2741.9332750207914</v>
      </c>
      <c r="F202" s="38">
        <f>F201*$C194</f>
        <v>3016.1266025228711</v>
      </c>
      <c r="G202" s="38">
        <f t="shared" ref="G202:K202" si="151">G201*$C194</f>
        <v>3317.7392627751583</v>
      </c>
      <c r="H202" s="38">
        <f t="shared" si="151"/>
        <v>3649.513189052675</v>
      </c>
      <c r="I202" s="38">
        <f t="shared" si="151"/>
        <v>4014.4645079579432</v>
      </c>
      <c r="J202" s="38">
        <f t="shared" si="151"/>
        <v>4415.9109587537378</v>
      </c>
      <c r="K202" s="38">
        <f t="shared" si="151"/>
        <v>4857.5020546291116</v>
      </c>
      <c r="L202" s="38"/>
      <c r="M202" s="38"/>
    </row>
    <row r="203" spans="1:13" ht="15.75" x14ac:dyDescent="0.25">
      <c r="A203" s="45" t="s">
        <v>4</v>
      </c>
      <c r="B203" s="38">
        <f>B200*$C193</f>
        <v>14084.899925602895</v>
      </c>
      <c r="C203" s="38">
        <f>C200*$C193</f>
        <v>31696.675173736683</v>
      </c>
      <c r="D203" s="38">
        <f>D200*$C193</f>
        <v>34866.342691110352</v>
      </c>
      <c r="E203" s="38">
        <f>E200*$C193</f>
        <v>38352.976960221393</v>
      </c>
      <c r="F203" s="38">
        <f>F200*$C193</f>
        <v>42188.274656243535</v>
      </c>
      <c r="G203" s="38">
        <f t="shared" ref="G203:K203" si="152">G200*$C193</f>
        <v>46407.102121867894</v>
      </c>
      <c r="H203" s="38">
        <f t="shared" si="152"/>
        <v>51047.812334054688</v>
      </c>
      <c r="I203" s="38">
        <f t="shared" si="152"/>
        <v>56152.593567460164</v>
      </c>
      <c r="J203" s="38">
        <f t="shared" si="152"/>
        <v>61767.852924206185</v>
      </c>
      <c r="K203" s="38">
        <f t="shared" si="152"/>
        <v>67944.638216626816</v>
      </c>
      <c r="L203" s="38"/>
      <c r="M203" s="38"/>
    </row>
    <row r="204" spans="1:13" ht="15.75" x14ac:dyDescent="0.25">
      <c r="A204" s="45" t="s">
        <v>6</v>
      </c>
      <c r="B204" s="38">
        <f>B201-B202+B203</f>
        <v>33081.493874383697</v>
      </c>
      <c r="C204" s="38">
        <f t="shared" ref="C204:K204" si="153">C201-C202+C203</f>
        <v>74446.632289679997</v>
      </c>
      <c r="D204" s="38">
        <f t="shared" si="153"/>
        <v>81891.295518647996</v>
      </c>
      <c r="E204" s="38">
        <f t="shared" si="153"/>
        <v>69520.816639551689</v>
      </c>
      <c r="F204" s="38">
        <f t="shared" si="153"/>
        <v>76472.898303506867</v>
      </c>
      <c r="G204" s="38">
        <f t="shared" si="153"/>
        <v>84120.188133857548</v>
      </c>
      <c r="H204" s="38">
        <f t="shared" si="153"/>
        <v>92532.206947243321</v>
      </c>
      <c r="I204" s="38">
        <f t="shared" si="153"/>
        <v>101785.42764196766</v>
      </c>
      <c r="J204" s="38">
        <f t="shared" si="153"/>
        <v>111963.97040616444</v>
      </c>
      <c r="K204" s="38">
        <f t="shared" si="153"/>
        <v>123160.3674467809</v>
      </c>
      <c r="L204" s="38">
        <f>(K204*(1+$C196))/($C195-$C196)</f>
        <v>3589244.9941633292</v>
      </c>
      <c r="M204" s="38"/>
    </row>
    <row r="205" spans="1:13" ht="15.75" x14ac:dyDescent="0.25">
      <c r="A205" s="45" t="s">
        <v>7</v>
      </c>
      <c r="B205" s="38">
        <f>NPV(C195,B204:L204)</f>
        <v>2606518.719078532</v>
      </c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</row>
    <row r="206" spans="1:13" ht="15.75" x14ac:dyDescent="0.25">
      <c r="A206" s="45"/>
      <c r="B206" s="31"/>
      <c r="C206" s="40"/>
    </row>
    <row r="207" spans="1:13" ht="15.75" x14ac:dyDescent="0.25">
      <c r="A207" s="45"/>
      <c r="B207" s="31"/>
    </row>
    <row r="208" spans="1:13" x14ac:dyDescent="0.25">
      <c r="B208" s="31"/>
    </row>
    <row r="209" spans="2:2" x14ac:dyDescent="0.25">
      <c r="B209" s="31"/>
    </row>
  </sheetData>
  <conditionalFormatting sqref="F10">
    <cfRule type="cellIs" dxfId="2" priority="1" operator="lessThan">
      <formula>1</formula>
    </cfRule>
    <cfRule type="cellIs" dxfId="1" priority="2" operator="greaterThan">
      <formula>1</formula>
    </cfRule>
    <cfRule type="cellIs" dxfId="0" priority="3" operator="equal">
      <formula>1</formula>
    </cfRule>
  </conditionalFormatting>
  <hyperlinks>
    <hyperlink ref="I6" r:id="rId1" xr:uid="{C2C788D5-62B6-49C6-8499-7B91AD9C07D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5"/>
  <sheetViews>
    <sheetView workbookViewId="0">
      <selection activeCell="F5" sqref="F5"/>
    </sheetView>
  </sheetViews>
  <sheetFormatPr defaultRowHeight="15" x14ac:dyDescent="0.25"/>
  <cols>
    <col min="1" max="1" width="40.140625" customWidth="1"/>
    <col min="2" max="5" width="12.28515625" customWidth="1"/>
  </cols>
  <sheetData>
    <row r="2" spans="1:17" x14ac:dyDescent="0.25">
      <c r="A2" t="s">
        <v>29</v>
      </c>
      <c r="L2" s="65" t="s">
        <v>172</v>
      </c>
      <c r="M2" s="66"/>
      <c r="N2" s="66"/>
      <c r="O2" s="66"/>
    </row>
    <row r="3" spans="1:17" x14ac:dyDescent="0.25">
      <c r="A3" t="s">
        <v>28</v>
      </c>
      <c r="B3" s="3">
        <v>2020</v>
      </c>
      <c r="C3" s="3">
        <v>2019</v>
      </c>
      <c r="D3" s="3">
        <v>2018</v>
      </c>
      <c r="E3" s="3">
        <v>2017</v>
      </c>
      <c r="F3" s="4" t="s">
        <v>173</v>
      </c>
      <c r="G3" s="4" t="s">
        <v>16</v>
      </c>
      <c r="H3" s="4" t="s">
        <v>17</v>
      </c>
      <c r="I3" s="4" t="s">
        <v>18</v>
      </c>
      <c r="L3" s="67">
        <v>43951</v>
      </c>
      <c r="M3" s="67">
        <v>43861</v>
      </c>
      <c r="N3" s="67">
        <v>43769</v>
      </c>
      <c r="O3" s="67">
        <v>43677</v>
      </c>
    </row>
    <row r="4" spans="1:17" x14ac:dyDescent="0.25">
      <c r="A4" t="s">
        <v>3</v>
      </c>
      <c r="B4" s="8">
        <v>622658</v>
      </c>
      <c r="C4" s="8">
        <v>330517</v>
      </c>
      <c r="D4" s="8">
        <v>151478</v>
      </c>
      <c r="E4" s="8">
        <v>60817</v>
      </c>
      <c r="F4" s="8"/>
      <c r="L4" s="8">
        <v>328167</v>
      </c>
      <c r="M4" s="8">
        <v>188251</v>
      </c>
      <c r="N4" s="8">
        <v>166593</v>
      </c>
      <c r="O4" s="8">
        <v>145826</v>
      </c>
    </row>
    <row r="5" spans="1:17" x14ac:dyDescent="0.25">
      <c r="A5" t="s">
        <v>49</v>
      </c>
      <c r="B5" s="1">
        <f>(B4-C4)/C4</f>
        <v>0.88389099501689772</v>
      </c>
      <c r="C5" s="1">
        <f t="shared" ref="C5:D5" si="0">(C4-D4)/D4</f>
        <v>1.1819472134567397</v>
      </c>
      <c r="D5" s="1">
        <f t="shared" si="0"/>
        <v>1.4907180558067645</v>
      </c>
      <c r="E5" s="8"/>
      <c r="F5" s="1">
        <f>P5</f>
        <v>1.2504011630299123</v>
      </c>
      <c r="G5" s="1">
        <f>AVERAGE(B5:F5)</f>
        <v>1.2017393568275785</v>
      </c>
      <c r="H5" s="1">
        <f>MAX(B5:F5)</f>
        <v>1.4907180558067645</v>
      </c>
      <c r="I5" s="1">
        <f>MIN(B5:F5)</f>
        <v>0.88389099501689772</v>
      </c>
      <c r="L5" s="1">
        <f t="shared" ref="L5:N5" si="1">(L4-M4)/M4</f>
        <v>0.74324173576767183</v>
      </c>
      <c r="M5" s="1">
        <f t="shared" si="1"/>
        <v>0.13000546241438715</v>
      </c>
      <c r="N5" s="1">
        <f t="shared" si="1"/>
        <v>0.14240944687504287</v>
      </c>
      <c r="P5" s="1">
        <f>(L4-O4)/O4</f>
        <v>1.2504011630299123</v>
      </c>
      <c r="Q5" t="s">
        <v>174</v>
      </c>
    </row>
    <row r="6" spans="1:17" x14ac:dyDescent="0.25">
      <c r="A6" t="s">
        <v>30</v>
      </c>
      <c r="B6" s="6">
        <v>115396</v>
      </c>
      <c r="C6" s="6">
        <v>61001</v>
      </c>
      <c r="D6" s="6">
        <v>30780</v>
      </c>
      <c r="E6" s="6">
        <v>12472</v>
      </c>
      <c r="F6" s="6"/>
      <c r="L6" s="8">
        <v>103707</v>
      </c>
      <c r="M6" s="8">
        <v>32547</v>
      </c>
      <c r="N6" s="8">
        <v>30845</v>
      </c>
      <c r="O6" s="8">
        <v>27900</v>
      </c>
    </row>
    <row r="7" spans="1:17" x14ac:dyDescent="0.25">
      <c r="A7" t="s">
        <v>0</v>
      </c>
      <c r="B7" s="8">
        <f>B4-B6</f>
        <v>507262</v>
      </c>
      <c r="C7" s="8">
        <f>C4-C6</f>
        <v>269516</v>
      </c>
      <c r="D7" s="8">
        <f>D4-D6</f>
        <v>120698</v>
      </c>
      <c r="E7" s="8">
        <f>E4-E6</f>
        <v>48345</v>
      </c>
      <c r="F7" s="8"/>
      <c r="L7" s="8">
        <f>L4-L6</f>
        <v>224460</v>
      </c>
      <c r="M7" s="8">
        <f t="shared" ref="M7:O7" si="2">M4-M6</f>
        <v>155704</v>
      </c>
      <c r="N7" s="8">
        <f t="shared" si="2"/>
        <v>135748</v>
      </c>
      <c r="O7" s="8">
        <f t="shared" si="2"/>
        <v>117926</v>
      </c>
    </row>
    <row r="8" spans="1:17" x14ac:dyDescent="0.25">
      <c r="A8" t="s">
        <v>48</v>
      </c>
      <c r="B8" s="1">
        <f>B7/B4</f>
        <v>0.81467193868865417</v>
      </c>
      <c r="C8" s="1">
        <f t="shared" ref="C8:E8" si="3">C7/C4</f>
        <v>0.81543763255747814</v>
      </c>
      <c r="D8" s="1">
        <f t="shared" si="3"/>
        <v>0.79680217589352909</v>
      </c>
      <c r="E8" s="1">
        <f t="shared" si="3"/>
        <v>0.79492576088922506</v>
      </c>
      <c r="F8" s="1">
        <f>AVERAGE(L8:O8)</f>
        <v>0.78365344157692585</v>
      </c>
      <c r="G8" s="1">
        <f>AVERAGE(B8:F8)</f>
        <v>0.80109818992116255</v>
      </c>
      <c r="H8" s="1">
        <f>MAX(B8:F8)</f>
        <v>0.81543763255747814</v>
      </c>
      <c r="I8" s="1">
        <f>MIN(B8:F8)</f>
        <v>0.78365344157692585</v>
      </c>
      <c r="L8" s="1">
        <f>L7/L4</f>
        <v>0.68398102185777365</v>
      </c>
      <c r="M8" s="1">
        <f t="shared" ref="M8:O8" si="4">M7/M4</f>
        <v>0.82710848813552118</v>
      </c>
      <c r="N8" s="1">
        <f t="shared" si="4"/>
        <v>0.81484816288799644</v>
      </c>
      <c r="O8" s="1">
        <f t="shared" si="4"/>
        <v>0.80867609342641233</v>
      </c>
    </row>
    <row r="9" spans="1:17" x14ac:dyDescent="0.25">
      <c r="A9" s="2" t="s">
        <v>31</v>
      </c>
    </row>
    <row r="10" spans="1:17" x14ac:dyDescent="0.25">
      <c r="A10" t="s">
        <v>32</v>
      </c>
      <c r="B10" s="6">
        <v>67079</v>
      </c>
      <c r="C10" s="6">
        <v>33014</v>
      </c>
      <c r="D10" s="6">
        <v>15733</v>
      </c>
      <c r="E10" s="6">
        <v>9218</v>
      </c>
      <c r="F10" s="6"/>
    </row>
    <row r="11" spans="1:17" x14ac:dyDescent="0.25">
      <c r="A11" t="s">
        <v>33</v>
      </c>
      <c r="B11" s="6">
        <v>340646</v>
      </c>
      <c r="C11" s="6">
        <v>185821</v>
      </c>
      <c r="D11" s="6">
        <v>82707</v>
      </c>
      <c r="E11" s="6">
        <v>31580</v>
      </c>
      <c r="F11" s="6"/>
    </row>
    <row r="12" spans="1:17" x14ac:dyDescent="0.25">
      <c r="A12" t="s">
        <v>34</v>
      </c>
      <c r="B12" s="6">
        <v>86841</v>
      </c>
      <c r="C12" s="6">
        <v>44514</v>
      </c>
      <c r="D12" s="6">
        <v>27091</v>
      </c>
      <c r="E12" s="6">
        <v>7547</v>
      </c>
      <c r="F12" s="6"/>
    </row>
    <row r="13" spans="1:17" x14ac:dyDescent="0.25">
      <c r="A13" t="s">
        <v>35</v>
      </c>
      <c r="B13" s="6">
        <v>494566</v>
      </c>
      <c r="C13" s="6">
        <v>263349</v>
      </c>
      <c r="D13" s="6">
        <v>125531</v>
      </c>
      <c r="E13" s="6">
        <v>48345</v>
      </c>
      <c r="F13" s="6"/>
    </row>
    <row r="14" spans="1:17" x14ac:dyDescent="0.25">
      <c r="A14" t="s">
        <v>36</v>
      </c>
      <c r="B14" s="8">
        <f>B7-B13</f>
        <v>12696</v>
      </c>
      <c r="C14" s="8">
        <f>C7-C13</f>
        <v>6167</v>
      </c>
      <c r="D14" s="8">
        <f>D7-D13</f>
        <v>-4833</v>
      </c>
      <c r="E14" s="8">
        <f>E7-E13</f>
        <v>0</v>
      </c>
      <c r="F14" s="8"/>
      <c r="L14" s="68">
        <v>23385</v>
      </c>
      <c r="M14" s="68">
        <v>10553</v>
      </c>
      <c r="N14" s="68">
        <v>-1679</v>
      </c>
      <c r="O14" s="68">
        <v>2265</v>
      </c>
    </row>
    <row r="15" spans="1:17" x14ac:dyDescent="0.25">
      <c r="A15" t="s">
        <v>50</v>
      </c>
      <c r="B15" s="1">
        <f t="shared" ref="B15:D15" si="5">B14/B4</f>
        <v>2.0390005428341081E-2</v>
      </c>
      <c r="C15" s="1">
        <f t="shared" si="5"/>
        <v>1.8658646907723356E-2</v>
      </c>
      <c r="D15" s="1">
        <f t="shared" si="5"/>
        <v>-3.1905623258823061E-2</v>
      </c>
      <c r="E15" s="1">
        <f>E14/E4</f>
        <v>0</v>
      </c>
      <c r="F15" s="1">
        <f>AVERAGE(L15:O15)</f>
        <v>3.31928350777521E-2</v>
      </c>
      <c r="G15" s="1">
        <f>AVERAGE(B15:F15)</f>
        <v>8.0671728309986944E-3</v>
      </c>
      <c r="H15" s="1">
        <f>MAX(B15:F15)</f>
        <v>3.31928350777521E-2</v>
      </c>
      <c r="I15" s="1">
        <f>MIN(B15:F15)</f>
        <v>-3.1905623258823061E-2</v>
      </c>
      <c r="L15" s="1">
        <f t="shared" ref="L15:N15" si="6">L14/L4</f>
        <v>7.1259450218943407E-2</v>
      </c>
      <c r="M15" s="1">
        <f t="shared" si="6"/>
        <v>5.6058135149348473E-2</v>
      </c>
      <c r="N15" s="1">
        <f t="shared" si="6"/>
        <v>-1.0078454676967219E-2</v>
      </c>
      <c r="O15" s="1">
        <f>O14/O4</f>
        <v>1.5532209619683733E-2</v>
      </c>
    </row>
    <row r="16" spans="1:17" x14ac:dyDescent="0.25">
      <c r="A16" t="s">
        <v>38</v>
      </c>
      <c r="B16" s="6">
        <v>13666</v>
      </c>
      <c r="C16" s="6">
        <v>2182</v>
      </c>
      <c r="D16" s="6">
        <v>1315</v>
      </c>
      <c r="E16">
        <v>158</v>
      </c>
    </row>
    <row r="17" spans="1:21" x14ac:dyDescent="0.25">
      <c r="A17" t="s">
        <v>39</v>
      </c>
      <c r="B17" s="6">
        <v>26362</v>
      </c>
      <c r="C17" s="6">
        <v>8349</v>
      </c>
      <c r="D17" s="6">
        <v>-3518</v>
      </c>
      <c r="E17">
        <v>158</v>
      </c>
      <c r="L17" s="68">
        <v>29175</v>
      </c>
      <c r="M17" s="68">
        <v>14545</v>
      </c>
      <c r="N17" s="68">
        <v>2530</v>
      </c>
      <c r="O17" s="68">
        <v>6757</v>
      </c>
    </row>
    <row r="18" spans="1:21" x14ac:dyDescent="0.25">
      <c r="B18" s="1">
        <f>B17/B4</f>
        <v>4.2337848385470035E-2</v>
      </c>
      <c r="C18" s="1">
        <f t="shared" ref="C18:E18" si="7">C17/C4</f>
        <v>2.5260425333643959E-2</v>
      </c>
      <c r="D18" s="1">
        <f t="shared" si="7"/>
        <v>-2.322449464608722E-2</v>
      </c>
      <c r="E18" s="1">
        <f t="shared" si="7"/>
        <v>2.597957807849779E-3</v>
      </c>
      <c r="F18" s="1">
        <f>AVERAGE(L18:O18)</f>
        <v>5.6922382198058619E-2</v>
      </c>
      <c r="G18" s="1">
        <f>AVERAGE(B18:F18)</f>
        <v>2.0778823815787033E-2</v>
      </c>
      <c r="H18" s="1">
        <f>MAX(B18:F18)</f>
        <v>5.6922382198058619E-2</v>
      </c>
      <c r="I18" s="1">
        <f>MIN(B18:F18)</f>
        <v>-2.322449464608722E-2</v>
      </c>
      <c r="L18" s="1">
        <f t="shared" ref="L18:O18" si="8">L17/L4</f>
        <v>8.8902906142299495E-2</v>
      </c>
      <c r="M18" s="1">
        <f t="shared" si="8"/>
        <v>7.7263865796197637E-2</v>
      </c>
      <c r="N18" s="1">
        <f t="shared" si="8"/>
        <v>1.5186712526936905E-2</v>
      </c>
      <c r="O18" s="1">
        <f t="shared" si="8"/>
        <v>4.6336044326800434E-2</v>
      </c>
    </row>
    <row r="19" spans="1:21" x14ac:dyDescent="0.25">
      <c r="A19" t="s">
        <v>40</v>
      </c>
      <c r="B19" s="6">
        <v>1057</v>
      </c>
      <c r="C19">
        <v>765</v>
      </c>
      <c r="D19">
        <v>304</v>
      </c>
      <c r="E19">
        <v>172</v>
      </c>
      <c r="L19" s="68">
        <v>2100</v>
      </c>
      <c r="M19" s="68">
        <v>-794</v>
      </c>
      <c r="N19" s="68">
        <v>319</v>
      </c>
      <c r="O19" s="68">
        <v>1216</v>
      </c>
    </row>
    <row r="20" spans="1:21" x14ac:dyDescent="0.25">
      <c r="A20" t="s">
        <v>55</v>
      </c>
      <c r="B20" s="1">
        <f>B19/B17</f>
        <v>4.0095592140201808E-2</v>
      </c>
      <c r="C20" s="1">
        <f t="shared" ref="C20:E20" si="9">C19/C17</f>
        <v>9.162773984908372E-2</v>
      </c>
      <c r="D20" s="1">
        <f t="shared" si="9"/>
        <v>-8.6412734508243313E-2</v>
      </c>
      <c r="E20" s="1">
        <f t="shared" si="9"/>
        <v>1.0886075949367089</v>
      </c>
      <c r="F20" s="1">
        <f>AVERAGE(L20:O20)</f>
        <v>8.0859676610396308E-2</v>
      </c>
      <c r="G20" s="1">
        <f>AVERAGE(B20:F20)</f>
        <v>0.24295557380562949</v>
      </c>
      <c r="H20" s="1">
        <f>MAX(B20:F20)</f>
        <v>1.0886075949367089</v>
      </c>
      <c r="I20" s="1">
        <f>MIN(B20:F20)</f>
        <v>-8.6412734508243313E-2</v>
      </c>
      <c r="L20" s="1">
        <f t="shared" ref="L20:O20" si="10">L19/L17</f>
        <v>7.1979434447300775E-2</v>
      </c>
      <c r="M20" s="1">
        <f t="shared" si="10"/>
        <v>-5.458920591268477E-2</v>
      </c>
      <c r="N20" s="1">
        <f t="shared" si="10"/>
        <v>0.12608695652173912</v>
      </c>
      <c r="O20" s="1">
        <f t="shared" si="10"/>
        <v>0.17996152138523014</v>
      </c>
    </row>
    <row r="21" spans="1:21" x14ac:dyDescent="0.25">
      <c r="A21" t="s">
        <v>41</v>
      </c>
      <c r="B21" s="8">
        <v>25305</v>
      </c>
      <c r="C21" s="8">
        <v>7584</v>
      </c>
      <c r="D21" s="8">
        <v>-3822</v>
      </c>
      <c r="E21" s="8">
        <v>-14</v>
      </c>
      <c r="F21" s="8"/>
      <c r="L21" s="68">
        <v>27036</v>
      </c>
      <c r="M21" s="68">
        <v>14277</v>
      </c>
      <c r="N21" s="68">
        <v>2207</v>
      </c>
      <c r="O21" s="68">
        <v>4770</v>
      </c>
    </row>
    <row r="22" spans="1:21" ht="15.75" thickBot="1" x14ac:dyDescent="0.3">
      <c r="A22" s="5" t="s">
        <v>51</v>
      </c>
      <c r="B22" s="7">
        <v>16449</v>
      </c>
      <c r="C22" s="7">
        <v>7008</v>
      </c>
      <c r="D22" s="7">
        <v>2786</v>
      </c>
      <c r="E22" s="7">
        <v>1219</v>
      </c>
      <c r="F22" s="69"/>
      <c r="H22" s="5"/>
      <c r="L22" s="68">
        <v>5339</v>
      </c>
      <c r="M22" s="68">
        <v>20</v>
      </c>
      <c r="N22" s="68">
        <v>6139</v>
      </c>
      <c r="O22" s="68">
        <v>5433</v>
      </c>
    </row>
    <row r="23" spans="1:21" ht="15.75" thickBot="1" x14ac:dyDescent="0.3">
      <c r="A23" s="5" t="s">
        <v>52</v>
      </c>
      <c r="B23" s="7">
        <v>29145</v>
      </c>
      <c r="C23" s="7">
        <v>13175</v>
      </c>
      <c r="D23" s="7">
        <v>-2047</v>
      </c>
      <c r="E23" s="6">
        <v>1219</v>
      </c>
      <c r="F23" s="6"/>
      <c r="H23" s="7"/>
      <c r="L23" s="68">
        <v>28724</v>
      </c>
      <c r="M23" s="68">
        <v>10573</v>
      </c>
      <c r="N23" s="68">
        <v>4460</v>
      </c>
      <c r="O23" s="68">
        <v>7698</v>
      </c>
    </row>
    <row r="24" spans="1:21" x14ac:dyDescent="0.25">
      <c r="A24" s="5" t="s">
        <v>54</v>
      </c>
      <c r="B24" s="1">
        <f>B22/B4</f>
        <v>2.6417391248486327E-2</v>
      </c>
      <c r="C24" s="1">
        <f t="shared" ref="C24:E24" si="11">C22/C4</f>
        <v>2.1203145375275706E-2</v>
      </c>
      <c r="D24" s="1">
        <f t="shared" si="11"/>
        <v>1.839210974530955E-2</v>
      </c>
      <c r="E24" s="1">
        <f t="shared" si="11"/>
        <v>2.0043737770689116E-2</v>
      </c>
      <c r="F24" s="1">
        <f>AVERAGE(L24:O24)</f>
        <v>2.2620603807552292E-2</v>
      </c>
      <c r="G24" s="1">
        <f>AVERAGE(B24:F24)</f>
        <v>2.17353975894626E-2</v>
      </c>
      <c r="H24" s="1">
        <f>MAX(B24:F24)</f>
        <v>2.6417391248486327E-2</v>
      </c>
      <c r="I24" s="1">
        <f>MIN(B24:F24)</f>
        <v>1.839210974530955E-2</v>
      </c>
      <c r="L24" s="1">
        <f t="shared" ref="L24:O24" si="12">L22/L4</f>
        <v>1.6269155643315752E-2</v>
      </c>
      <c r="M24" s="1">
        <f t="shared" si="12"/>
        <v>1.0624113550525628E-4</v>
      </c>
      <c r="N24" s="1">
        <f t="shared" si="12"/>
        <v>3.6850287827219629E-2</v>
      </c>
      <c r="O24" s="1">
        <f t="shared" si="12"/>
        <v>3.7256730624168531E-2</v>
      </c>
    </row>
    <row r="25" spans="1:21" ht="15.75" thickBot="1" x14ac:dyDescent="0.3">
      <c r="A25" t="s">
        <v>53</v>
      </c>
      <c r="B25" s="8"/>
      <c r="C25" s="8"/>
      <c r="D25" s="8"/>
      <c r="E25" s="8"/>
      <c r="F25" s="8"/>
      <c r="H25" s="7"/>
    </row>
    <row r="26" spans="1:21" ht="15.75" thickBot="1" x14ac:dyDescent="0.3">
      <c r="B26" s="8"/>
      <c r="C26" s="8"/>
      <c r="D26" s="8"/>
      <c r="E26" s="8"/>
      <c r="F26" s="8"/>
      <c r="H26" s="7"/>
    </row>
    <row r="27" spans="1:21" x14ac:dyDescent="0.25">
      <c r="A27" t="s">
        <v>42</v>
      </c>
      <c r="B27" t="s">
        <v>37</v>
      </c>
      <c r="C27" t="s">
        <v>37</v>
      </c>
      <c r="D27" s="6">
        <v>-4405</v>
      </c>
      <c r="E27" s="6">
        <v>-14366</v>
      </c>
      <c r="F27" s="6"/>
      <c r="H27" s="6"/>
    </row>
    <row r="28" spans="1:21" x14ac:dyDescent="0.25">
      <c r="A28" t="s">
        <v>43</v>
      </c>
      <c r="B28" s="6">
        <v>-3555</v>
      </c>
      <c r="C28" s="6">
        <v>-7584</v>
      </c>
      <c r="D28" t="s">
        <v>37</v>
      </c>
      <c r="E28" t="s">
        <v>37</v>
      </c>
    </row>
    <row r="29" spans="1:21" x14ac:dyDescent="0.25">
      <c r="A29" t="s">
        <v>44</v>
      </c>
      <c r="B29" s="8">
        <v>21750</v>
      </c>
      <c r="C29" t="s">
        <v>45</v>
      </c>
      <c r="D29" s="8">
        <v>-8227</v>
      </c>
      <c r="E29" s="8">
        <v>-14380</v>
      </c>
      <c r="F29" s="8"/>
    </row>
    <row r="30" spans="1:21" x14ac:dyDescent="0.25">
      <c r="A30" t="s">
        <v>46</v>
      </c>
    </row>
    <row r="31" spans="1:21" x14ac:dyDescent="0.25">
      <c r="A31" t="s">
        <v>1</v>
      </c>
      <c r="B31" s="9">
        <v>0.09</v>
      </c>
      <c r="C31" s="9">
        <v>0</v>
      </c>
      <c r="D31" s="10">
        <v>-0.11</v>
      </c>
      <c r="E31" s="10">
        <v>-0.2</v>
      </c>
      <c r="U31" s="10"/>
    </row>
    <row r="32" spans="1:21" x14ac:dyDescent="0.25">
      <c r="A32" t="s">
        <v>2</v>
      </c>
      <c r="B32" s="9">
        <v>0.09</v>
      </c>
      <c r="C32" s="9">
        <v>0</v>
      </c>
      <c r="D32" s="10">
        <v>-0.11</v>
      </c>
      <c r="E32" s="10">
        <v>-0.2</v>
      </c>
      <c r="U32" s="10"/>
    </row>
    <row r="33" spans="1:21" x14ac:dyDescent="0.25">
      <c r="A33" t="s">
        <v>47</v>
      </c>
    </row>
    <row r="34" spans="1:21" x14ac:dyDescent="0.25">
      <c r="A34" t="s">
        <v>1</v>
      </c>
      <c r="B34" s="6">
        <v>233641336</v>
      </c>
      <c r="C34" s="6">
        <v>84483094</v>
      </c>
      <c r="D34" s="6">
        <v>78119865</v>
      </c>
      <c r="E34" s="6">
        <v>70309256</v>
      </c>
      <c r="U34" s="6"/>
    </row>
    <row r="35" spans="1:21" x14ac:dyDescent="0.25">
      <c r="A35" t="s">
        <v>2</v>
      </c>
      <c r="B35" s="6">
        <v>254298014</v>
      </c>
      <c r="C35" s="6">
        <v>116005681</v>
      </c>
      <c r="D35" s="6">
        <v>78119865</v>
      </c>
      <c r="E35" s="6">
        <v>70309256</v>
      </c>
      <c r="U35" s="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674D2-DE60-4D11-B101-B34D17D65628}">
  <dimension ref="A2:F103"/>
  <sheetViews>
    <sheetView showGridLines="0" topLeftCell="A64" zoomScaleNormal="100" workbookViewId="0">
      <selection activeCell="A70" sqref="A70"/>
    </sheetView>
  </sheetViews>
  <sheetFormatPr defaultRowHeight="15" x14ac:dyDescent="0.25"/>
  <cols>
    <col min="1" max="1" width="18" customWidth="1"/>
    <col min="2" max="2" width="16.85546875" customWidth="1"/>
    <col min="3" max="3" width="17.140625" customWidth="1"/>
    <col min="4" max="5" width="19.28515625" customWidth="1"/>
    <col min="6" max="6" width="16.7109375" customWidth="1"/>
  </cols>
  <sheetData>
    <row r="2" spans="1:5" ht="15" customHeight="1" x14ac:dyDescent="0.25">
      <c r="D2" s="20">
        <f>ZoomScenarios!K4</f>
        <v>0.65</v>
      </c>
      <c r="E2" s="15">
        <f>_xll.PTreeNodeProbability(treeCalc_2!$F$2,4)</f>
        <v>0.10725000000000001</v>
      </c>
    </row>
    <row r="3" spans="1:5" ht="15" customHeight="1" x14ac:dyDescent="0.25">
      <c r="D3" s="22">
        <f>ZoomScenarios!E8</f>
        <v>15297342.800369034</v>
      </c>
      <c r="E3" s="43">
        <f>_xll.PTreeNodeValue(treeCalc_2!$F$2,4)</f>
        <v>15297342.800369034</v>
      </c>
    </row>
    <row r="4" spans="1:5" ht="15" customHeight="1" x14ac:dyDescent="0.25">
      <c r="C4" s="20">
        <f>ZoomScenarios!K2</f>
        <v>0.55000000000000004</v>
      </c>
      <c r="D4" s="21" t="s">
        <v>128</v>
      </c>
    </row>
    <row r="5" spans="1:5" ht="15" customHeight="1" x14ac:dyDescent="0.25">
      <c r="C5" s="16"/>
      <c r="D5" s="23">
        <f>_xll.PTreeNodeValue(treeCalc_2!$F$2,3)</f>
        <v>10855554.371917358</v>
      </c>
    </row>
    <row r="6" spans="1:5" ht="15" customHeight="1" x14ac:dyDescent="0.25">
      <c r="D6" s="20">
        <f>1-D2</f>
        <v>0.35</v>
      </c>
      <c r="E6" s="15">
        <f>_xll.PTreeNodeProbability(treeCalc_2!$F$2,5)</f>
        <v>5.7749999999999996E-2</v>
      </c>
    </row>
    <row r="7" spans="1:5" ht="15" customHeight="1" x14ac:dyDescent="0.25">
      <c r="D7" s="22">
        <f>ZoomScenarios!E9</f>
        <v>2606518.719078532</v>
      </c>
      <c r="E7" s="43">
        <f>_xll.PTreeNodeValue(treeCalc_2!$F$2,5)</f>
        <v>2606518.719078532</v>
      </c>
    </row>
    <row r="8" spans="1:5" ht="15" customHeight="1" x14ac:dyDescent="0.25">
      <c r="B8" s="20">
        <f>ZoomScenarios!K3</f>
        <v>0.3</v>
      </c>
      <c r="C8" s="21" t="s">
        <v>115</v>
      </c>
    </row>
    <row r="9" spans="1:5" ht="15" customHeight="1" x14ac:dyDescent="0.25">
      <c r="B9" s="16">
        <v>0</v>
      </c>
      <c r="C9" s="23">
        <f>_xll.PTreeNodeValue(treeCalc_2!$F$2,2)</f>
        <v>11518908.187823905</v>
      </c>
    </row>
    <row r="10" spans="1:5" ht="15" customHeight="1" x14ac:dyDescent="0.25">
      <c r="D10" s="20">
        <f>D2</f>
        <v>0.65</v>
      </c>
      <c r="E10" s="15">
        <f>_xll.PTreeNodeProbability(treeCalc_2!$F$2,7)</f>
        <v>8.7749999999999995E-2</v>
      </c>
    </row>
    <row r="11" spans="1:5" ht="15" customHeight="1" x14ac:dyDescent="0.25">
      <c r="D11" s="22">
        <f>ZoomScenarios!E7</f>
        <v>14435060.111334557</v>
      </c>
      <c r="E11" s="43">
        <f>_xll.PTreeNodeValue(treeCalc_2!$F$2,7)</f>
        <v>14435060.111334557</v>
      </c>
    </row>
    <row r="12" spans="1:5" ht="15" customHeight="1" x14ac:dyDescent="0.25">
      <c r="C12" s="20">
        <f>1-C4</f>
        <v>0.44999999999999996</v>
      </c>
      <c r="D12" s="21" t="s">
        <v>128</v>
      </c>
    </row>
    <row r="13" spans="1:5" ht="15" customHeight="1" x14ac:dyDescent="0.25">
      <c r="C13" s="16"/>
      <c r="D13" s="23">
        <f>_xll.PTreeNodeValue(treeCalc_2!$F$2,6)</f>
        <v>12329673.962820796</v>
      </c>
    </row>
    <row r="14" spans="1:5" ht="15" customHeight="1" x14ac:dyDescent="0.25">
      <c r="D14" s="20">
        <f>1-D10</f>
        <v>0.35</v>
      </c>
      <c r="E14" s="15">
        <f>_xll.PTreeNodeProbability(treeCalc_2!$F$2,8)</f>
        <v>4.7249999999999993E-2</v>
      </c>
    </row>
    <row r="15" spans="1:5" ht="15" customHeight="1" x14ac:dyDescent="0.25">
      <c r="D15" s="22">
        <f>ZoomScenarios!E6</f>
        <v>8419671.1155809592</v>
      </c>
      <c r="E15" s="43">
        <f>_xll.PTreeNodeValue(treeCalc_2!$F$2,8)</f>
        <v>8419671.1155809592</v>
      </c>
    </row>
    <row r="16" spans="1:5" ht="15" customHeight="1" x14ac:dyDescent="0.25">
      <c r="A16" s="16"/>
      <c r="B16" s="21" t="s">
        <v>110</v>
      </c>
    </row>
    <row r="17" spans="1:5" ht="15" customHeight="1" x14ac:dyDescent="0.25">
      <c r="A17" s="16"/>
      <c r="B17" s="23">
        <f>_xll.PTreeNodeValue(treeCalc_2!$F$2,1)</f>
        <v>75178266.343077555</v>
      </c>
    </row>
    <row r="18" spans="1:5" ht="15" customHeight="1" x14ac:dyDescent="0.25">
      <c r="D18" s="20">
        <f>D2</f>
        <v>0.65</v>
      </c>
      <c r="E18" s="15">
        <f>_xll.PTreeNodeProbability(treeCalc_2!$F$2,11)</f>
        <v>0.25025000000000003</v>
      </c>
    </row>
    <row r="19" spans="1:5" ht="15" customHeight="1" x14ac:dyDescent="0.25">
      <c r="D19" s="22">
        <f>ZoomScenarios!E5</f>
        <v>19750426.353804711</v>
      </c>
      <c r="E19" s="43">
        <f>_xll.PTreeNodeValue(treeCalc_2!$F$2,11)</f>
        <v>19750426.353804711</v>
      </c>
    </row>
    <row r="20" spans="1:5" ht="15" customHeight="1" x14ac:dyDescent="0.25">
      <c r="C20" s="20">
        <f>C4</f>
        <v>0.55000000000000004</v>
      </c>
      <c r="D20" s="21" t="s">
        <v>128</v>
      </c>
    </row>
    <row r="21" spans="1:5" ht="15" customHeight="1" x14ac:dyDescent="0.25">
      <c r="C21" s="16"/>
      <c r="D21" s="23">
        <f>_xll.PTreeNodeValue(treeCalc_2!$F$2,10)</f>
        <v>15167226.848369218</v>
      </c>
    </row>
    <row r="22" spans="1:5" ht="15" customHeight="1" x14ac:dyDescent="0.25">
      <c r="D22" s="20">
        <f>1-D18</f>
        <v>0.35</v>
      </c>
      <c r="E22" s="15">
        <f>_xll.PTreeNodeProbability(treeCalc_2!$F$2,12)</f>
        <v>0.13474999999999998</v>
      </c>
    </row>
    <row r="23" spans="1:5" ht="15" customHeight="1" x14ac:dyDescent="0.25">
      <c r="D23" s="22">
        <f>ZoomScenarios!E4</f>
        <v>6655570.6239890121</v>
      </c>
      <c r="E23" s="43">
        <f>_xll.PTreeNodeValue(treeCalc_2!$F$2,12)</f>
        <v>6655570.6239890121</v>
      </c>
    </row>
    <row r="24" spans="1:5" ht="15" customHeight="1" x14ac:dyDescent="0.25">
      <c r="B24" s="20">
        <f>1-B8</f>
        <v>0.7</v>
      </c>
      <c r="C24" s="21" t="s">
        <v>115</v>
      </c>
    </row>
    <row r="25" spans="1:5" ht="15" customHeight="1" x14ac:dyDescent="0.25">
      <c r="B25" s="16">
        <v>0</v>
      </c>
      <c r="C25" s="23">
        <f>_xll.PTreeNodeValue(treeCalc_2!$F$2,9)</f>
        <v>102460848.40961485</v>
      </c>
    </row>
    <row r="26" spans="1:5" ht="15" customHeight="1" x14ac:dyDescent="0.25">
      <c r="D26" s="20">
        <f>D2</f>
        <v>0.65</v>
      </c>
      <c r="E26" s="15">
        <f>_xll.PTreeNodeProbability(treeCalc_2!$F$2,14)</f>
        <v>0.20474999999999996</v>
      </c>
    </row>
    <row r="27" spans="1:5" ht="15" customHeight="1" x14ac:dyDescent="0.25">
      <c r="D27" s="22">
        <f>ZoomScenarios!E2</f>
        <v>276303227.43449765</v>
      </c>
      <c r="E27" s="43">
        <f>_xll.PTreeNodeValue(treeCalc_2!$F$2,14)</f>
        <v>276303227.43449765</v>
      </c>
    </row>
    <row r="28" spans="1:5" ht="15" customHeight="1" x14ac:dyDescent="0.25">
      <c r="C28" s="20">
        <f>1-C20</f>
        <v>0.44999999999999996</v>
      </c>
      <c r="D28" s="21" t="s">
        <v>128</v>
      </c>
    </row>
    <row r="29" spans="1:5" ht="15" customHeight="1" x14ac:dyDescent="0.25">
      <c r="C29" s="16"/>
      <c r="D29" s="23">
        <f>_xll.PTreeNodeValue(treeCalc_2!$F$2,13)</f>
        <v>209153052.54002619</v>
      </c>
    </row>
    <row r="30" spans="1:5" ht="15" customHeight="1" x14ac:dyDescent="0.25">
      <c r="D30" s="20">
        <f>1-D26</f>
        <v>0.35</v>
      </c>
      <c r="E30" s="15">
        <f>_xll.PTreeNodeProbability(treeCalc_2!$F$2,15)</f>
        <v>0.11024999999999997</v>
      </c>
    </row>
    <row r="31" spans="1:5" ht="15" customHeight="1" x14ac:dyDescent="0.25">
      <c r="D31" s="22">
        <f>ZoomScenarios!E3</f>
        <v>84445584.878864914</v>
      </c>
      <c r="E31" s="43">
        <f>_xll.PTreeNodeValue(treeCalc_2!$F$2,15)</f>
        <v>84445584.878864914</v>
      </c>
    </row>
    <row r="66" spans="2:6" ht="15" customHeight="1" x14ac:dyDescent="0.25">
      <c r="E66" s="20">
        <f>ZoomScenarios!K4</f>
        <v>0.65</v>
      </c>
      <c r="F66" s="15">
        <f>_xll.PTreeNodeProbability(treeCalc_1!$F$2,12)</f>
        <v>0.10725000000000001</v>
      </c>
    </row>
    <row r="67" spans="2:6" ht="15" customHeight="1" x14ac:dyDescent="0.25">
      <c r="E67" s="22">
        <f>ZoomScenarios!E8</f>
        <v>15297342.800369034</v>
      </c>
      <c r="F67" s="43">
        <f>_xll.PTreeNodeValue(treeCalc_1!$F$2,12)</f>
        <v>15297342.800369034</v>
      </c>
    </row>
    <row r="68" spans="2:6" ht="15" customHeight="1" x14ac:dyDescent="0.25">
      <c r="D68" s="20">
        <f>ZoomScenarios!K2</f>
        <v>0.55000000000000004</v>
      </c>
      <c r="E68" s="19" t="s">
        <v>128</v>
      </c>
    </row>
    <row r="69" spans="2:6" ht="15" customHeight="1" x14ac:dyDescent="0.25">
      <c r="D69" s="26"/>
      <c r="E69" s="23">
        <f>_xll.PTreeNodeValue(treeCalc_1!$F$2,6)</f>
        <v>10855554.371917358</v>
      </c>
    </row>
    <row r="70" spans="2:6" ht="15" customHeight="1" x14ac:dyDescent="0.25">
      <c r="E70" s="20">
        <f>1-E66</f>
        <v>0.35</v>
      </c>
      <c r="F70" s="15">
        <f>_xll.PTreeNodeProbability(treeCalc_1!$F$2,13)</f>
        <v>5.7749999999999996E-2</v>
      </c>
    </row>
    <row r="71" spans="2:6" ht="15" customHeight="1" x14ac:dyDescent="0.25">
      <c r="E71" s="22">
        <f>ZoomScenarios!E9</f>
        <v>2606518.719078532</v>
      </c>
      <c r="F71" s="43">
        <f>_xll.PTreeNodeValue(treeCalc_1!$F$2,13)</f>
        <v>2606518.719078532</v>
      </c>
    </row>
    <row r="72" spans="2:6" ht="15" customHeight="1" x14ac:dyDescent="0.25">
      <c r="C72" s="20">
        <f>ZoomScenarios!K3</f>
        <v>0.3</v>
      </c>
      <c r="D72" s="19" t="s">
        <v>115</v>
      </c>
    </row>
    <row r="73" spans="2:6" ht="15" customHeight="1" x14ac:dyDescent="0.25">
      <c r="C73" s="16">
        <v>0</v>
      </c>
      <c r="D73" s="23">
        <f>_xll.PTreeNodeValue(treeCalc_1!$F$2,4)</f>
        <v>11518908.187823905</v>
      </c>
    </row>
    <row r="74" spans="2:6" ht="15" customHeight="1" x14ac:dyDescent="0.25">
      <c r="E74" s="20">
        <f>E66</f>
        <v>0.65</v>
      </c>
      <c r="F74" s="15">
        <f>_xll.PTreeNodeProbability(treeCalc_1!$F$2,14)</f>
        <v>8.7749999999999995E-2</v>
      </c>
    </row>
    <row r="75" spans="2:6" ht="15" customHeight="1" x14ac:dyDescent="0.25">
      <c r="E75" s="22">
        <f>ZoomScenarios!E7</f>
        <v>14435060.111334557</v>
      </c>
      <c r="F75" s="43">
        <f>_xll.PTreeNodeValue(treeCalc_1!$F$2,14)</f>
        <v>14435060.111334557</v>
      </c>
    </row>
    <row r="76" spans="2:6" ht="15" customHeight="1" x14ac:dyDescent="0.25">
      <c r="D76" s="20">
        <f>1-D68</f>
        <v>0.44999999999999996</v>
      </c>
      <c r="E76" s="21" t="s">
        <v>128</v>
      </c>
    </row>
    <row r="77" spans="2:6" ht="15" customHeight="1" x14ac:dyDescent="0.25">
      <c r="D77" s="26"/>
      <c r="E77" s="23">
        <f>_xll.PTreeNodeValue(treeCalc_1!$F$2,7)</f>
        <v>12329673.962820796</v>
      </c>
    </row>
    <row r="78" spans="2:6" ht="15" customHeight="1" x14ac:dyDescent="0.25">
      <c r="E78" s="20">
        <f>1-E74</f>
        <v>0.35</v>
      </c>
      <c r="F78" s="15">
        <f>_xll.PTreeNodeProbability(treeCalc_1!$F$2,15)</f>
        <v>4.7249999999999993E-2</v>
      </c>
    </row>
    <row r="79" spans="2:6" ht="15" customHeight="1" x14ac:dyDescent="0.25">
      <c r="E79" s="22">
        <f>ZoomScenarios!E6</f>
        <v>8419671.1155809592</v>
      </c>
      <c r="F79" s="43">
        <f>_xll.PTreeNodeValue(treeCalc_1!$F$2,15)</f>
        <v>8419671.1155809592</v>
      </c>
    </row>
    <row r="80" spans="2:6" ht="15" customHeight="1" x14ac:dyDescent="0.25">
      <c r="B80" s="18" t="b">
        <f>_xll.PTreeNodeDecision(treeCalc_1!$F$2,2)</f>
        <v>1</v>
      </c>
      <c r="C80" s="19" t="s">
        <v>110</v>
      </c>
    </row>
    <row r="81" spans="1:6" ht="15" customHeight="1" x14ac:dyDescent="0.25">
      <c r="B81" s="16">
        <v>0</v>
      </c>
      <c r="C81" s="23">
        <f>_xll.PTreeNodeValue(treeCalc_1!$F$2,2)</f>
        <v>75178266.343077555</v>
      </c>
    </row>
    <row r="82" spans="1:6" ht="15" customHeight="1" x14ac:dyDescent="0.25">
      <c r="E82" s="20">
        <f>E66</f>
        <v>0.65</v>
      </c>
      <c r="F82" s="15">
        <f>_xll.PTreeNodeProbability(treeCalc_1!$F$2,16)</f>
        <v>0.25025000000000003</v>
      </c>
    </row>
    <row r="83" spans="1:6" ht="15" customHeight="1" x14ac:dyDescent="0.25">
      <c r="E83" s="22">
        <f>ZoomScenarios!E5</f>
        <v>19750426.353804711</v>
      </c>
      <c r="F83" s="43">
        <f>_xll.PTreeNodeValue(treeCalc_1!$F$2,16)</f>
        <v>19750426.353804711</v>
      </c>
    </row>
    <row r="84" spans="1:6" ht="15" customHeight="1" x14ac:dyDescent="0.25">
      <c r="D84" s="20">
        <f>D68</f>
        <v>0.55000000000000004</v>
      </c>
      <c r="E84" s="21" t="s">
        <v>128</v>
      </c>
    </row>
    <row r="85" spans="1:6" ht="15" customHeight="1" x14ac:dyDescent="0.25">
      <c r="D85" s="26"/>
      <c r="E85" s="23">
        <f>_xll.PTreeNodeValue(treeCalc_1!$F$2,8)</f>
        <v>15167226.848369218</v>
      </c>
    </row>
    <row r="86" spans="1:6" ht="15" customHeight="1" x14ac:dyDescent="0.25">
      <c r="E86" s="20">
        <f>1-E82</f>
        <v>0.35</v>
      </c>
      <c r="F86" s="15">
        <f>_xll.PTreeNodeProbability(treeCalc_1!$F$2,17)</f>
        <v>0.13474999999999998</v>
      </c>
    </row>
    <row r="87" spans="1:6" ht="15" customHeight="1" x14ac:dyDescent="0.25">
      <c r="E87" s="22">
        <f>ZoomScenarios!E4</f>
        <v>6655570.6239890121</v>
      </c>
      <c r="F87" s="43">
        <f>_xll.PTreeNodeValue(treeCalc_1!$F$2,17)</f>
        <v>6655570.6239890121</v>
      </c>
    </row>
    <row r="88" spans="1:6" ht="15" customHeight="1" x14ac:dyDescent="0.25">
      <c r="C88" s="20">
        <f>1-C72</f>
        <v>0.7</v>
      </c>
      <c r="D88" s="21" t="s">
        <v>115</v>
      </c>
    </row>
    <row r="89" spans="1:6" ht="15" customHeight="1" x14ac:dyDescent="0.25">
      <c r="C89" s="16">
        <v>0</v>
      </c>
      <c r="D89" s="23">
        <f>_xll.PTreeNodeValue(treeCalc_1!$F$2,5)</f>
        <v>102460848.40961485</v>
      </c>
    </row>
    <row r="90" spans="1:6" ht="15" customHeight="1" x14ac:dyDescent="0.25">
      <c r="E90" s="20">
        <f>E66</f>
        <v>0.65</v>
      </c>
      <c r="F90" s="15">
        <f>_xll.PTreeNodeProbability(treeCalc_1!$F$2,18)</f>
        <v>0.20474999999999996</v>
      </c>
    </row>
    <row r="91" spans="1:6" ht="15" customHeight="1" x14ac:dyDescent="0.25">
      <c r="E91" s="22">
        <f>ZoomScenarios!E2</f>
        <v>276303227.43449765</v>
      </c>
      <c r="F91" s="43">
        <f>_xll.PTreeNodeValue(treeCalc_1!$F$2,18)</f>
        <v>276303227.43449765</v>
      </c>
    </row>
    <row r="92" spans="1:6" ht="15" customHeight="1" x14ac:dyDescent="0.25">
      <c r="D92" s="20">
        <f>1-D84</f>
        <v>0.44999999999999996</v>
      </c>
      <c r="E92" s="21" t="s">
        <v>128</v>
      </c>
    </row>
    <row r="93" spans="1:6" ht="15" customHeight="1" x14ac:dyDescent="0.25">
      <c r="D93" s="26"/>
      <c r="E93" s="23">
        <f>_xll.PTreeNodeValue(treeCalc_1!$F$2,9)</f>
        <v>209153052.54002619</v>
      </c>
    </row>
    <row r="94" spans="1:6" ht="15" customHeight="1" x14ac:dyDescent="0.25">
      <c r="E94" s="20">
        <f>1-E90</f>
        <v>0.35</v>
      </c>
      <c r="F94" s="15">
        <f>_xll.PTreeNodeProbability(treeCalc_1!$F$2,19)</f>
        <v>0.11024999999999997</v>
      </c>
    </row>
    <row r="95" spans="1:6" ht="15" customHeight="1" x14ac:dyDescent="0.25">
      <c r="E95" s="22">
        <f>ZoomScenarios!E3</f>
        <v>84445584.878864914</v>
      </c>
      <c r="F95" s="43">
        <f>_xll.PTreeNodeValue(treeCalc_1!$F$2,19)</f>
        <v>84445584.878864914</v>
      </c>
    </row>
    <row r="96" spans="1:6" ht="15" customHeight="1" x14ac:dyDescent="0.25">
      <c r="A96" s="16"/>
      <c r="B96" s="17" t="s">
        <v>106</v>
      </c>
    </row>
    <row r="97" spans="1:4" ht="15" customHeight="1" x14ac:dyDescent="0.25">
      <c r="A97" s="16"/>
      <c r="B97" s="24">
        <f>_xll.PTreeNodeValue(treeCalc_1!$F$2,1)</f>
        <v>75178266.343077555</v>
      </c>
    </row>
    <row r="98" spans="1:4" ht="15" customHeight="1" x14ac:dyDescent="0.25">
      <c r="C98" s="20">
        <f>ZoomScenarios!P6</f>
        <v>0.4</v>
      </c>
      <c r="D98" s="15">
        <f>_xll.PTreeNodeProbability(treeCalc_1!$F$2,10)</f>
        <v>0</v>
      </c>
    </row>
    <row r="99" spans="1:4" ht="15" customHeight="1" x14ac:dyDescent="0.25">
      <c r="C99" s="22">
        <f>ZoomScenarios!O7</f>
        <v>91005000</v>
      </c>
      <c r="D99" s="14">
        <f>_xll.PTreeNodeValue(treeCalc_1!$F$2,10)</f>
        <v>91005000</v>
      </c>
    </row>
    <row r="100" spans="1:4" ht="15" customHeight="1" x14ac:dyDescent="0.25">
      <c r="B100" s="18" t="b">
        <f>_xll.PTreeNodeDecision(treeCalc_1!$F$2,3)</f>
        <v>0</v>
      </c>
      <c r="C100" s="19" t="s">
        <v>119</v>
      </c>
    </row>
    <row r="101" spans="1:4" ht="15" customHeight="1" x14ac:dyDescent="0.25">
      <c r="B101" s="26"/>
      <c r="C101" s="23">
        <f>_xll.PTreeNodeValue(treeCalc_1!$F$2,3)</f>
        <v>72389250</v>
      </c>
    </row>
    <row r="102" spans="1:4" ht="15" customHeight="1" x14ac:dyDescent="0.25">
      <c r="C102" s="20">
        <f>1-C98</f>
        <v>0.6</v>
      </c>
      <c r="D102" s="15">
        <f>_xll.PTreeNodeProbability(treeCalc_1!$F$2,11)</f>
        <v>0</v>
      </c>
    </row>
    <row r="103" spans="1:4" ht="15" customHeight="1" x14ac:dyDescent="0.25">
      <c r="C103" s="22">
        <f>ZoomScenarios!O6</f>
        <v>59978750</v>
      </c>
      <c r="D103" s="14">
        <f>_xll.PTreeNodeValue(treeCalc_1!$F$2,11)</f>
        <v>59978750</v>
      </c>
    </row>
  </sheetData>
  <pageMargins left="0.7" right="0.7" top="0.75" bottom="0.75" header="0.3" footer="0.3"/>
  <drawing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709F3-13B2-450C-9DBC-C76E21EEC309}">
  <dimension ref="A1"/>
  <sheetViews>
    <sheetView workbookViewId="0">
      <selection activeCell="J8" sqref="J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C99C-D9CF-4BE6-A57F-9FADCEC65780}">
  <dimension ref="A2:D15"/>
  <sheetViews>
    <sheetView workbookViewId="0">
      <selection activeCell="C3" sqref="C3"/>
    </sheetView>
  </sheetViews>
  <sheetFormatPr defaultRowHeight="15" x14ac:dyDescent="0.25"/>
  <cols>
    <col min="1" max="1" width="17.5703125" customWidth="1"/>
    <col min="2" max="2" width="14.5703125" customWidth="1"/>
    <col min="3" max="3" width="16.28515625" customWidth="1"/>
    <col min="4" max="4" width="16.7109375" customWidth="1"/>
  </cols>
  <sheetData>
    <row r="2" spans="1:4" ht="15" customHeight="1" x14ac:dyDescent="0.25">
      <c r="C2" s="20">
        <v>0.7</v>
      </c>
      <c r="D2" s="15">
        <f>_xll.PTreeNodeProbability(treeCalc_3!$F$2,4)</f>
        <v>0</v>
      </c>
    </row>
    <row r="3" spans="1:4" ht="15" customHeight="1" x14ac:dyDescent="0.25">
      <c r="C3" s="16">
        <v>-500</v>
      </c>
      <c r="D3" s="14">
        <f>_xll.PTreeNodeValue(treeCalc_3!$F$2,4)</f>
        <v>-500</v>
      </c>
    </row>
    <row r="4" spans="1:4" ht="15" customHeight="1" x14ac:dyDescent="0.25">
      <c r="B4" s="18" t="b">
        <f>_xll.PTreeNodeDecision(treeCalc_3!$F$2,2)</f>
        <v>0</v>
      </c>
      <c r="C4" s="19" t="s">
        <v>180</v>
      </c>
    </row>
    <row r="5" spans="1:4" ht="15" customHeight="1" x14ac:dyDescent="0.25">
      <c r="B5" s="16">
        <v>0</v>
      </c>
      <c r="C5" s="71">
        <f>_xll.PTreeNodeValue(treeCalc_3!$F$2,2)</f>
        <v>-380</v>
      </c>
    </row>
    <row r="6" spans="1:4" ht="15" customHeight="1" x14ac:dyDescent="0.25">
      <c r="C6" s="20">
        <f>1-C2</f>
        <v>0.30000000000000004</v>
      </c>
      <c r="D6" s="15">
        <f>_xll.PTreeNodeProbability(treeCalc_3!$F$2,5)</f>
        <v>0</v>
      </c>
    </row>
    <row r="7" spans="1:4" ht="15" customHeight="1" x14ac:dyDescent="0.25">
      <c r="C7" s="16">
        <v>-100</v>
      </c>
      <c r="D7" s="14">
        <f>_xll.PTreeNodeValue(treeCalc_3!$F$2,5)</f>
        <v>-100</v>
      </c>
    </row>
    <row r="8" spans="1:4" ht="15" customHeight="1" x14ac:dyDescent="0.25">
      <c r="A8" s="16"/>
      <c r="B8" s="17" t="s">
        <v>178</v>
      </c>
    </row>
    <row r="9" spans="1:4" ht="15" customHeight="1" x14ac:dyDescent="0.25">
      <c r="A9" s="16"/>
      <c r="B9" s="70">
        <f>_xll.PTreeNodeValue(treeCalc_3!$F$2,1)</f>
        <v>-110</v>
      </c>
    </row>
    <row r="10" spans="1:4" ht="15" customHeight="1" x14ac:dyDescent="0.25">
      <c r="C10" s="20">
        <v>0.4</v>
      </c>
      <c r="D10" s="15">
        <f>_xll.PTreeNodeProbability(treeCalc_3!$F$2,6)</f>
        <v>0.4</v>
      </c>
    </row>
    <row r="11" spans="1:4" ht="15" customHeight="1" x14ac:dyDescent="0.25">
      <c r="C11" s="16">
        <v>-200</v>
      </c>
      <c r="D11" s="14">
        <f>_xll.PTreeNodeValue(treeCalc_3!$F$2,6)</f>
        <v>-200</v>
      </c>
    </row>
    <row r="12" spans="1:4" ht="15" customHeight="1" x14ac:dyDescent="0.25">
      <c r="B12" s="18" t="b">
        <f>_xll.PTreeNodeDecision(treeCalc_3!$F$2,3)</f>
        <v>1</v>
      </c>
      <c r="C12" s="21" t="s">
        <v>180</v>
      </c>
    </row>
    <row r="13" spans="1:4" ht="15" customHeight="1" x14ac:dyDescent="0.25">
      <c r="B13" s="16">
        <v>0</v>
      </c>
      <c r="C13" s="71">
        <f>_xll.PTreeNodeValue(treeCalc_3!$F$2,3)</f>
        <v>-110</v>
      </c>
    </row>
    <row r="14" spans="1:4" ht="15" customHeight="1" x14ac:dyDescent="0.25">
      <c r="C14" s="20">
        <f>1-C10</f>
        <v>0.6</v>
      </c>
      <c r="D14" s="15">
        <f>_xll.PTreeNodeProbability(treeCalc_3!$F$2,7)</f>
        <v>0.6</v>
      </c>
    </row>
    <row r="15" spans="1:4" ht="15" customHeight="1" x14ac:dyDescent="0.25">
      <c r="C15" s="16">
        <v>-50</v>
      </c>
      <c r="D15" s="14">
        <f>_xll.PTreeNodeValue(treeCalc_3!$F$2,7)</f>
        <v>-50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24A05-B4CB-4C30-BD41-92224F021CF5}">
  <dimension ref="A1:P17"/>
  <sheetViews>
    <sheetView workbookViewId="0"/>
  </sheetViews>
  <sheetFormatPr defaultColWidth="15.7109375" defaultRowHeight="15" x14ac:dyDescent="0.25"/>
  <cols>
    <col min="1" max="16384" width="15.7109375" style="12"/>
  </cols>
  <sheetData>
    <row r="1" spans="1:16" x14ac:dyDescent="0.25">
      <c r="A1" s="12" t="s">
        <v>60</v>
      </c>
      <c r="B1" s="11" t="s">
        <v>177</v>
      </c>
      <c r="E1" s="12" t="s">
        <v>68</v>
      </c>
      <c r="F1" s="12">
        <v>3</v>
      </c>
      <c r="H1" s="12" t="s">
        <v>75</v>
      </c>
      <c r="I1" s="11" t="s">
        <v>101</v>
      </c>
      <c r="K1" s="12" t="s">
        <v>80</v>
      </c>
      <c r="L1" s="12">
        <v>100</v>
      </c>
    </row>
    <row r="2" spans="1:16" x14ac:dyDescent="0.25">
      <c r="A2" s="12" t="s">
        <v>61</v>
      </c>
      <c r="B2" s="12" t="e">
        <f>SandBox!#REF!</f>
        <v>#REF!</v>
      </c>
      <c r="E2" s="12" t="s">
        <v>70</v>
      </c>
      <c r="F2" s="12">
        <f>_xll.PTreeEvaluate5(B3,$L$11:$L$17,$J$11:$J$17,$K$11:$K$17,$N$11:$N$17,$G$11:$G$17,,L1)</f>
        <v>437379</v>
      </c>
    </row>
    <row r="3" spans="1:16" x14ac:dyDescent="0.25">
      <c r="A3" s="12" t="s">
        <v>62</v>
      </c>
      <c r="B3" s="12" t="s">
        <v>176</v>
      </c>
      <c r="E3" s="12" t="s">
        <v>71</v>
      </c>
      <c r="F3" s="11" t="s">
        <v>97</v>
      </c>
      <c r="H3" s="12" t="s">
        <v>76</v>
      </c>
      <c r="I3" s="13" t="s">
        <v>99</v>
      </c>
    </row>
    <row r="4" spans="1:16" x14ac:dyDescent="0.25">
      <c r="A4" s="12" t="s">
        <v>63</v>
      </c>
      <c r="B4" s="12" t="s">
        <v>96</v>
      </c>
      <c r="E4" s="12" t="s">
        <v>72</v>
      </c>
      <c r="F4" s="11" t="s">
        <v>98</v>
      </c>
      <c r="H4" s="12" t="s">
        <v>77</v>
      </c>
      <c r="I4" s="11" t="s">
        <v>100</v>
      </c>
    </row>
    <row r="5" spans="1:16" x14ac:dyDescent="0.25">
      <c r="A5" s="12" t="s">
        <v>64</v>
      </c>
      <c r="B5" s="12">
        <v>0</v>
      </c>
      <c r="E5" s="12" t="s">
        <v>73</v>
      </c>
      <c r="F5" s="11" t="s">
        <v>98</v>
      </c>
      <c r="H5" s="12" t="s">
        <v>78</v>
      </c>
      <c r="I5" s="13" t="s">
        <v>99</v>
      </c>
    </row>
    <row r="6" spans="1:16" x14ac:dyDescent="0.25">
      <c r="A6" s="12" t="s">
        <v>65</v>
      </c>
      <c r="E6" s="12" t="s">
        <v>74</v>
      </c>
      <c r="F6" s="11" t="s">
        <v>97</v>
      </c>
      <c r="H6" s="12" t="s">
        <v>79</v>
      </c>
      <c r="I6" s="11" t="s">
        <v>100</v>
      </c>
    </row>
    <row r="7" spans="1:16" x14ac:dyDescent="0.25">
      <c r="A7" s="12" t="s">
        <v>66</v>
      </c>
      <c r="E7" s="12" t="s">
        <v>69</v>
      </c>
      <c r="F7" s="11" t="s">
        <v>175</v>
      </c>
    </row>
    <row r="8" spans="1:16" x14ac:dyDescent="0.25">
      <c r="A8" s="12" t="s">
        <v>67</v>
      </c>
      <c r="B8" s="12">
        <v>7</v>
      </c>
    </row>
    <row r="10" spans="1:16" x14ac:dyDescent="0.25">
      <c r="A10" s="12" t="s">
        <v>81</v>
      </c>
      <c r="B10" s="12" t="s">
        <v>82</v>
      </c>
      <c r="C10" s="12" t="s">
        <v>83</v>
      </c>
      <c r="D10" s="12" t="s">
        <v>84</v>
      </c>
      <c r="E10" s="12" t="s">
        <v>85</v>
      </c>
      <c r="F10" s="12" t="s">
        <v>86</v>
      </c>
      <c r="G10" s="12" t="s">
        <v>87</v>
      </c>
      <c r="H10" s="12" t="s">
        <v>88</v>
      </c>
      <c r="I10" s="12" t="s">
        <v>89</v>
      </c>
      <c r="J10" s="12" t="s">
        <v>90</v>
      </c>
      <c r="K10" s="12" t="s">
        <v>91</v>
      </c>
      <c r="L10" s="12" t="s">
        <v>62</v>
      </c>
      <c r="M10" s="12" t="s">
        <v>92</v>
      </c>
      <c r="N10" s="12" t="s">
        <v>93</v>
      </c>
      <c r="O10" s="12" t="s">
        <v>94</v>
      </c>
      <c r="P10" s="12" t="s">
        <v>95</v>
      </c>
    </row>
    <row r="11" spans="1:16" x14ac:dyDescent="0.25">
      <c r="A11" s="12">
        <f>SandBox!$B$9</f>
        <v>-110</v>
      </c>
      <c r="B11" s="12" t="str">
        <f>B1</f>
        <v>F2F Classes</v>
      </c>
      <c r="C11" s="12">
        <v>0</v>
      </c>
      <c r="I11" s="12" t="s">
        <v>102</v>
      </c>
      <c r="J11" s="12">
        <f>SandBox!$A$9</f>
        <v>0</v>
      </c>
      <c r="K11" s="12">
        <f>SandBox!$A$8</f>
        <v>0</v>
      </c>
      <c r="L11" s="12" t="s">
        <v>107</v>
      </c>
      <c r="M11" s="11" t="s">
        <v>103</v>
      </c>
      <c r="O11" s="12" t="str">
        <f>SandBox!$B$8</f>
        <v>F2F</v>
      </c>
      <c r="P11" s="12" t="b">
        <v>0</v>
      </c>
    </row>
    <row r="12" spans="1:16" x14ac:dyDescent="0.25">
      <c r="A12" s="12">
        <f>SandBox!$C$5</f>
        <v>-380</v>
      </c>
      <c r="B12" s="11" t="s">
        <v>178</v>
      </c>
      <c r="C12" s="12">
        <v>0</v>
      </c>
      <c r="I12" s="12" t="s">
        <v>102</v>
      </c>
      <c r="J12" s="12">
        <f>SandBox!$B$5</f>
        <v>0</v>
      </c>
      <c r="L12" s="12" t="s">
        <v>111</v>
      </c>
      <c r="M12" s="11" t="s">
        <v>103</v>
      </c>
      <c r="O12" s="12" t="str">
        <f>SandBox!$C$4</f>
        <v>Sick?</v>
      </c>
      <c r="P12" s="12" t="b">
        <v>0</v>
      </c>
    </row>
    <row r="13" spans="1:16" x14ac:dyDescent="0.25">
      <c r="A13" s="12">
        <f>SandBox!$C$13</f>
        <v>-110</v>
      </c>
      <c r="B13" s="11" t="s">
        <v>179</v>
      </c>
      <c r="C13" s="12">
        <v>0</v>
      </c>
      <c r="I13" s="12" t="s">
        <v>102</v>
      </c>
      <c r="J13" s="12">
        <f>SandBox!$B$13</f>
        <v>0</v>
      </c>
      <c r="L13" s="12" t="s">
        <v>182</v>
      </c>
      <c r="M13" s="11" t="s">
        <v>103</v>
      </c>
      <c r="O13" s="12" t="str">
        <f>SandBox!$C$12</f>
        <v>Sick?</v>
      </c>
      <c r="P13" s="12" t="b">
        <v>0</v>
      </c>
    </row>
    <row r="14" spans="1:16" x14ac:dyDescent="0.25">
      <c r="A14" s="12">
        <f>SandBox!$D$3</f>
        <v>-500</v>
      </c>
      <c r="B14" s="11" t="s">
        <v>112</v>
      </c>
      <c r="C14" s="12">
        <v>0</v>
      </c>
      <c r="H14" s="12" t="s">
        <v>102</v>
      </c>
      <c r="I14" s="12" t="s">
        <v>102</v>
      </c>
      <c r="J14" s="12">
        <f>SandBox!$C$3</f>
        <v>-500</v>
      </c>
      <c r="K14" s="12">
        <f>SandBox!$C$2</f>
        <v>0.7</v>
      </c>
      <c r="L14" s="12" t="s">
        <v>181</v>
      </c>
      <c r="M14" s="11" t="s">
        <v>103</v>
      </c>
      <c r="P14" s="12" t="b">
        <v>0</v>
      </c>
    </row>
    <row r="15" spans="1:16" x14ac:dyDescent="0.25">
      <c r="A15" s="12">
        <f>SandBox!$D$7</f>
        <v>-100</v>
      </c>
      <c r="B15" s="11" t="s">
        <v>113</v>
      </c>
      <c r="C15" s="12">
        <v>0</v>
      </c>
      <c r="H15" s="12" t="s">
        <v>102</v>
      </c>
      <c r="I15" s="12" t="s">
        <v>102</v>
      </c>
      <c r="J15" s="12">
        <f>SandBox!$C$7</f>
        <v>-100</v>
      </c>
      <c r="K15" s="12">
        <f>SandBox!$C$6</f>
        <v>0.30000000000000004</v>
      </c>
      <c r="L15" s="12" t="s">
        <v>181</v>
      </c>
      <c r="M15" s="11" t="s">
        <v>103</v>
      </c>
      <c r="P15" s="12" t="b">
        <v>0</v>
      </c>
    </row>
    <row r="16" spans="1:16" x14ac:dyDescent="0.25">
      <c r="A16" s="12">
        <f>SandBox!$D$11</f>
        <v>-200</v>
      </c>
      <c r="B16" s="11" t="s">
        <v>112</v>
      </c>
      <c r="C16" s="12">
        <v>0</v>
      </c>
      <c r="H16" s="12" t="s">
        <v>102</v>
      </c>
      <c r="I16" s="12" t="s">
        <v>102</v>
      </c>
      <c r="J16" s="12">
        <f>SandBox!$C$11</f>
        <v>-200</v>
      </c>
      <c r="K16" s="12">
        <f>SandBox!$C$10</f>
        <v>0.4</v>
      </c>
      <c r="L16" s="12" t="s">
        <v>120</v>
      </c>
      <c r="M16" s="11" t="s">
        <v>103</v>
      </c>
      <c r="P16" s="12" t="b">
        <v>0</v>
      </c>
    </row>
    <row r="17" spans="1:16" x14ac:dyDescent="0.25">
      <c r="A17" s="12">
        <f>SandBox!$D$15</f>
        <v>-50</v>
      </c>
      <c r="B17" s="11" t="s">
        <v>113</v>
      </c>
      <c r="C17" s="12">
        <v>0</v>
      </c>
      <c r="H17" s="12" t="s">
        <v>102</v>
      </c>
      <c r="I17" s="12" t="s">
        <v>102</v>
      </c>
      <c r="J17" s="12">
        <f>SandBox!$C$15</f>
        <v>-50</v>
      </c>
      <c r="K17" s="12">
        <f>SandBox!$C$14</f>
        <v>0.6</v>
      </c>
      <c r="L17" s="12" t="s">
        <v>120</v>
      </c>
      <c r="M17" s="11" t="s">
        <v>103</v>
      </c>
      <c r="P17" s="12" t="b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34E37-6B53-40FA-8A8E-7A3D334AA8EF}">
  <dimension ref="A1:P25"/>
  <sheetViews>
    <sheetView workbookViewId="0"/>
  </sheetViews>
  <sheetFormatPr defaultColWidth="15.7109375" defaultRowHeight="15" x14ac:dyDescent="0.25"/>
  <cols>
    <col min="1" max="16384" width="15.7109375" style="12"/>
  </cols>
  <sheetData>
    <row r="1" spans="1:16" x14ac:dyDescent="0.25">
      <c r="A1" s="12" t="s">
        <v>60</v>
      </c>
      <c r="B1" s="11" t="s">
        <v>141</v>
      </c>
      <c r="E1" s="12" t="s">
        <v>68</v>
      </c>
      <c r="F1" s="12">
        <v>3</v>
      </c>
      <c r="H1" s="12" t="s">
        <v>75</v>
      </c>
      <c r="I1" s="11" t="s">
        <v>101</v>
      </c>
      <c r="K1" s="12" t="s">
        <v>80</v>
      </c>
      <c r="L1" s="12">
        <v>100</v>
      </c>
    </row>
    <row r="2" spans="1:16" x14ac:dyDescent="0.25">
      <c r="A2" s="12" t="s">
        <v>61</v>
      </c>
      <c r="B2" s="12" t="e">
        <f>ZoomTree!#REF!</f>
        <v>#REF!</v>
      </c>
      <c r="E2" s="12" t="s">
        <v>70</v>
      </c>
      <c r="F2" s="12">
        <f>_xll.PTreeEvaluate5(B3,$L$11:$L$25,$J$11:$J$25,$K$11:$K$25,$N$11:$N$25,$G$11:$G$25,,L1)</f>
        <v>283010</v>
      </c>
    </row>
    <row r="3" spans="1:16" x14ac:dyDescent="0.25">
      <c r="A3" s="12" t="s">
        <v>62</v>
      </c>
      <c r="B3" s="12" t="s">
        <v>140</v>
      </c>
      <c r="E3" s="12" t="s">
        <v>71</v>
      </c>
      <c r="F3" s="11" t="s">
        <v>97</v>
      </c>
      <c r="H3" s="12" t="s">
        <v>76</v>
      </c>
      <c r="I3" s="13" t="s">
        <v>99</v>
      </c>
    </row>
    <row r="4" spans="1:16" x14ac:dyDescent="0.25">
      <c r="A4" s="12" t="s">
        <v>63</v>
      </c>
      <c r="B4" s="12" t="s">
        <v>96</v>
      </c>
      <c r="E4" s="12" t="s">
        <v>72</v>
      </c>
      <c r="F4" s="11" t="s">
        <v>98</v>
      </c>
      <c r="H4" s="12" t="s">
        <v>77</v>
      </c>
      <c r="I4" s="11" t="s">
        <v>100</v>
      </c>
    </row>
    <row r="5" spans="1:16" x14ac:dyDescent="0.25">
      <c r="A5" s="12" t="s">
        <v>64</v>
      </c>
      <c r="B5" s="12">
        <v>0</v>
      </c>
      <c r="E5" s="12" t="s">
        <v>73</v>
      </c>
      <c r="F5" s="11" t="s">
        <v>98</v>
      </c>
      <c r="H5" s="12" t="s">
        <v>78</v>
      </c>
      <c r="I5" s="13" t="s">
        <v>99</v>
      </c>
    </row>
    <row r="6" spans="1:16" x14ac:dyDescent="0.25">
      <c r="A6" s="12" t="s">
        <v>65</v>
      </c>
      <c r="E6" s="12" t="s">
        <v>74</v>
      </c>
      <c r="F6" s="11" t="s">
        <v>97</v>
      </c>
      <c r="H6" s="12" t="s">
        <v>79</v>
      </c>
      <c r="I6" s="11" t="s">
        <v>100</v>
      </c>
    </row>
    <row r="7" spans="1:16" x14ac:dyDescent="0.25">
      <c r="A7" s="12" t="s">
        <v>66</v>
      </c>
      <c r="E7" s="12" t="s">
        <v>69</v>
      </c>
      <c r="F7" s="11" t="s">
        <v>139</v>
      </c>
    </row>
    <row r="8" spans="1:16" x14ac:dyDescent="0.25">
      <c r="A8" s="12" t="s">
        <v>67</v>
      </c>
      <c r="B8" s="12">
        <v>15</v>
      </c>
    </row>
    <row r="10" spans="1:16" x14ac:dyDescent="0.25">
      <c r="A10" s="12" t="s">
        <v>81</v>
      </c>
      <c r="B10" s="12" t="s">
        <v>82</v>
      </c>
      <c r="C10" s="12" t="s">
        <v>83</v>
      </c>
      <c r="D10" s="12" t="s">
        <v>84</v>
      </c>
      <c r="E10" s="12" t="s">
        <v>85</v>
      </c>
      <c r="F10" s="12" t="s">
        <v>86</v>
      </c>
      <c r="G10" s="12" t="s">
        <v>87</v>
      </c>
      <c r="H10" s="12" t="s">
        <v>88</v>
      </c>
      <c r="I10" s="12" t="s">
        <v>89</v>
      </c>
      <c r="J10" s="12" t="s">
        <v>90</v>
      </c>
      <c r="K10" s="12" t="s">
        <v>91</v>
      </c>
      <c r="L10" s="12" t="s">
        <v>62</v>
      </c>
      <c r="M10" s="12" t="s">
        <v>92</v>
      </c>
      <c r="N10" s="12" t="s">
        <v>93</v>
      </c>
      <c r="O10" s="12" t="s">
        <v>94</v>
      </c>
      <c r="P10" s="12" t="s">
        <v>95</v>
      </c>
    </row>
    <row r="11" spans="1:16" x14ac:dyDescent="0.25">
      <c r="A11" s="12">
        <f>ZoomTree!$B$17</f>
        <v>75178266.343077555</v>
      </c>
      <c r="B11" s="12" t="str">
        <f>B1</f>
        <v>Zoom Value</v>
      </c>
      <c r="C11" s="12">
        <v>0</v>
      </c>
      <c r="I11" s="12" t="s">
        <v>102</v>
      </c>
      <c r="J11" s="12">
        <f>ZoomTree!$A$17</f>
        <v>0</v>
      </c>
      <c r="K11" s="12">
        <f>ZoomTree!$A$16</f>
        <v>0</v>
      </c>
      <c r="L11" s="12" t="s">
        <v>142</v>
      </c>
      <c r="M11" s="11" t="s">
        <v>103</v>
      </c>
      <c r="O11" s="12" t="str">
        <f>ZoomTree!$B$16</f>
        <v>RivalQuality</v>
      </c>
      <c r="P11" s="12" t="b">
        <v>0</v>
      </c>
    </row>
    <row r="12" spans="1:16" x14ac:dyDescent="0.25">
      <c r="A12" s="12">
        <f>ZoomTree!$C$9</f>
        <v>11518908.187823905</v>
      </c>
      <c r="B12" s="11" t="s">
        <v>112</v>
      </c>
      <c r="C12" s="12">
        <v>0</v>
      </c>
      <c r="I12" s="12" t="s">
        <v>102</v>
      </c>
      <c r="J12" s="12">
        <f>ZoomTree!$B$9</f>
        <v>0</v>
      </c>
      <c r="K12" s="12">
        <f>ZoomTree!$B$8</f>
        <v>0.3</v>
      </c>
      <c r="L12" s="12" t="s">
        <v>143</v>
      </c>
      <c r="M12" s="11" t="s">
        <v>103</v>
      </c>
      <c r="O12" s="12" t="str">
        <f>ZoomTree!$C$8</f>
        <v>PriceWar</v>
      </c>
      <c r="P12" s="12" t="b">
        <v>0</v>
      </c>
    </row>
    <row r="13" spans="1:16" x14ac:dyDescent="0.25">
      <c r="A13" s="12">
        <f>ZoomTree!$D$5</f>
        <v>10855554.371917358</v>
      </c>
      <c r="B13" s="11" t="s">
        <v>116</v>
      </c>
      <c r="C13" s="12">
        <v>0</v>
      </c>
      <c r="I13" s="12" t="s">
        <v>102</v>
      </c>
      <c r="J13" s="12">
        <f>ZoomTree!$C$5</f>
        <v>0</v>
      </c>
      <c r="K13" s="12">
        <f>ZoomTree!$C$4</f>
        <v>0.55000000000000004</v>
      </c>
      <c r="L13" s="12" t="s">
        <v>144</v>
      </c>
      <c r="M13" s="11" t="s">
        <v>103</v>
      </c>
      <c r="O13" s="12" t="str">
        <f>ZoomTree!$D$4</f>
        <v>Zoom</v>
      </c>
      <c r="P13" s="12" t="b">
        <v>0</v>
      </c>
    </row>
    <row r="14" spans="1:16" x14ac:dyDescent="0.25">
      <c r="A14" s="12">
        <f>ZoomTree!$E$3</f>
        <v>15297342.800369034</v>
      </c>
      <c r="B14" s="11" t="s">
        <v>131</v>
      </c>
      <c r="C14" s="12">
        <v>0</v>
      </c>
      <c r="H14" s="12" t="s">
        <v>102</v>
      </c>
      <c r="I14" s="12" t="s">
        <v>102</v>
      </c>
      <c r="J14" s="12">
        <f>ZoomTree!$D$3</f>
        <v>15297342.800369034</v>
      </c>
      <c r="K14" s="12">
        <f>ZoomTree!$D$2</f>
        <v>0.65</v>
      </c>
      <c r="L14" s="12" t="s">
        <v>120</v>
      </c>
      <c r="M14" s="11" t="s">
        <v>103</v>
      </c>
      <c r="P14" s="12" t="b">
        <v>0</v>
      </c>
    </row>
    <row r="15" spans="1:16" x14ac:dyDescent="0.25">
      <c r="A15" s="12">
        <f>ZoomTree!$E$7</f>
        <v>2606518.719078532</v>
      </c>
      <c r="B15" s="11" t="s">
        <v>132</v>
      </c>
      <c r="C15" s="12">
        <v>0</v>
      </c>
      <c r="H15" s="12" t="s">
        <v>102</v>
      </c>
      <c r="I15" s="12" t="s">
        <v>102</v>
      </c>
      <c r="J15" s="12">
        <f>ZoomTree!$D$7</f>
        <v>2606518.719078532</v>
      </c>
      <c r="K15" s="12">
        <f>ZoomTree!$D$6</f>
        <v>0.35</v>
      </c>
      <c r="L15" s="12" t="s">
        <v>120</v>
      </c>
      <c r="M15" s="11" t="s">
        <v>103</v>
      </c>
      <c r="P15" s="12" t="b">
        <v>0</v>
      </c>
    </row>
    <row r="16" spans="1:16" x14ac:dyDescent="0.25">
      <c r="A16" s="12">
        <f>ZoomTree!$D$13</f>
        <v>12329673.962820796</v>
      </c>
      <c r="B16" s="11" t="s">
        <v>117</v>
      </c>
      <c r="C16" s="12">
        <v>0</v>
      </c>
      <c r="I16" s="12" t="s">
        <v>102</v>
      </c>
      <c r="J16" s="12">
        <f>ZoomTree!$C$13</f>
        <v>0</v>
      </c>
      <c r="K16" s="12">
        <f>ZoomTree!$C$12</f>
        <v>0.44999999999999996</v>
      </c>
      <c r="L16" s="12" t="s">
        <v>145</v>
      </c>
      <c r="M16" s="11" t="s">
        <v>103</v>
      </c>
      <c r="O16" s="12" t="str">
        <f>ZoomTree!$D$12</f>
        <v>Zoom</v>
      </c>
      <c r="P16" s="12" t="b">
        <v>0</v>
      </c>
    </row>
    <row r="17" spans="1:16" x14ac:dyDescent="0.25">
      <c r="A17" s="12">
        <f>ZoomTree!$E$11</f>
        <v>14435060.111334557</v>
      </c>
      <c r="B17" s="11" t="s">
        <v>131</v>
      </c>
      <c r="C17" s="12">
        <v>0</v>
      </c>
      <c r="H17" s="12" t="s">
        <v>102</v>
      </c>
      <c r="I17" s="12" t="s">
        <v>102</v>
      </c>
      <c r="J17" s="12">
        <f>ZoomTree!$D$11</f>
        <v>14435060.111334557</v>
      </c>
      <c r="K17" s="12">
        <f>ZoomTree!$D$10</f>
        <v>0.65</v>
      </c>
      <c r="L17" s="12" t="s">
        <v>129</v>
      </c>
      <c r="M17" s="11" t="s">
        <v>103</v>
      </c>
      <c r="P17" s="12" t="b">
        <v>0</v>
      </c>
    </row>
    <row r="18" spans="1:16" x14ac:dyDescent="0.25">
      <c r="A18" s="12">
        <f>ZoomTree!$E$15</f>
        <v>8419671.1155809592</v>
      </c>
      <c r="B18" s="11" t="s">
        <v>132</v>
      </c>
      <c r="C18" s="12">
        <v>0</v>
      </c>
      <c r="H18" s="12" t="s">
        <v>102</v>
      </c>
      <c r="I18" s="12" t="s">
        <v>102</v>
      </c>
      <c r="J18" s="12">
        <f>ZoomTree!$D$15</f>
        <v>8419671.1155809592</v>
      </c>
      <c r="K18" s="12">
        <f>ZoomTree!$D$14</f>
        <v>0.35</v>
      </c>
      <c r="L18" s="12" t="s">
        <v>129</v>
      </c>
      <c r="M18" s="11" t="s">
        <v>103</v>
      </c>
      <c r="P18" s="12" t="b">
        <v>0</v>
      </c>
    </row>
    <row r="19" spans="1:16" x14ac:dyDescent="0.25">
      <c r="A19" s="12">
        <f>ZoomTree!$C$25</f>
        <v>102460848.40961485</v>
      </c>
      <c r="B19" s="11" t="s">
        <v>113</v>
      </c>
      <c r="C19" s="12">
        <v>0</v>
      </c>
      <c r="I19" s="12" t="s">
        <v>102</v>
      </c>
      <c r="J19" s="12">
        <f>ZoomTree!$B$25</f>
        <v>0</v>
      </c>
      <c r="K19" s="12">
        <f>ZoomTree!$B$24</f>
        <v>0.7</v>
      </c>
      <c r="L19" s="12" t="s">
        <v>146</v>
      </c>
      <c r="M19" s="11" t="s">
        <v>103</v>
      </c>
      <c r="O19" s="12" t="str">
        <f>ZoomTree!$C$24</f>
        <v>PriceWar</v>
      </c>
      <c r="P19" s="12" t="b">
        <v>0</v>
      </c>
    </row>
    <row r="20" spans="1:16" x14ac:dyDescent="0.25">
      <c r="A20" s="12">
        <f>ZoomTree!$D$21</f>
        <v>15167226.848369218</v>
      </c>
      <c r="B20" s="11" t="s">
        <v>116</v>
      </c>
      <c r="C20" s="12">
        <v>0</v>
      </c>
      <c r="I20" s="12" t="s">
        <v>102</v>
      </c>
      <c r="J20" s="12">
        <f>ZoomTree!$C$21</f>
        <v>0</v>
      </c>
      <c r="K20" s="12">
        <f>ZoomTree!$C$20</f>
        <v>0.55000000000000004</v>
      </c>
      <c r="L20" s="12" t="s">
        <v>147</v>
      </c>
      <c r="M20" s="11" t="s">
        <v>103</v>
      </c>
      <c r="O20" s="12" t="str">
        <f>ZoomTree!$D$20</f>
        <v>Zoom</v>
      </c>
      <c r="P20" s="12" t="b">
        <v>0</v>
      </c>
    </row>
    <row r="21" spans="1:16" x14ac:dyDescent="0.25">
      <c r="A21" s="12">
        <f>ZoomTree!$E$19</f>
        <v>19750426.353804711</v>
      </c>
      <c r="B21" s="11" t="s">
        <v>131</v>
      </c>
      <c r="C21" s="12">
        <v>0</v>
      </c>
      <c r="H21" s="12" t="s">
        <v>102</v>
      </c>
      <c r="I21" s="12" t="s">
        <v>102</v>
      </c>
      <c r="J21" s="12">
        <f>ZoomTree!$D$19</f>
        <v>19750426.353804711</v>
      </c>
      <c r="K21" s="12">
        <f>ZoomTree!$D$18</f>
        <v>0.65</v>
      </c>
      <c r="L21" s="12" t="s">
        <v>148</v>
      </c>
      <c r="M21" s="11" t="s">
        <v>103</v>
      </c>
      <c r="P21" s="12" t="b">
        <v>0</v>
      </c>
    </row>
    <row r="22" spans="1:16" x14ac:dyDescent="0.25">
      <c r="A22" s="12">
        <f>ZoomTree!$E$23</f>
        <v>6655570.6239890121</v>
      </c>
      <c r="B22" s="11" t="s">
        <v>132</v>
      </c>
      <c r="C22" s="12">
        <v>0</v>
      </c>
      <c r="H22" s="12" t="s">
        <v>102</v>
      </c>
      <c r="I22" s="12" t="s">
        <v>102</v>
      </c>
      <c r="J22" s="12">
        <f>ZoomTree!$D$23</f>
        <v>6655570.6239890121</v>
      </c>
      <c r="K22" s="12">
        <f>ZoomTree!$D$22</f>
        <v>0.35</v>
      </c>
      <c r="L22" s="12" t="s">
        <v>148</v>
      </c>
      <c r="M22" s="11" t="s">
        <v>103</v>
      </c>
      <c r="P22" s="12" t="b">
        <v>0</v>
      </c>
    </row>
    <row r="23" spans="1:16" x14ac:dyDescent="0.25">
      <c r="A23" s="12">
        <f>ZoomTree!$D$29</f>
        <v>209153052.54002619</v>
      </c>
      <c r="B23" s="11" t="s">
        <v>117</v>
      </c>
      <c r="C23" s="12">
        <v>0</v>
      </c>
      <c r="I23" s="12" t="s">
        <v>102</v>
      </c>
      <c r="J23" s="12">
        <f>ZoomTree!$C$29</f>
        <v>0</v>
      </c>
      <c r="K23" s="12">
        <f>ZoomTree!$C$28</f>
        <v>0.44999999999999996</v>
      </c>
      <c r="L23" s="12" t="s">
        <v>149</v>
      </c>
      <c r="M23" s="11" t="s">
        <v>103</v>
      </c>
      <c r="O23" s="12" t="str">
        <f>ZoomTree!$D$28</f>
        <v>Zoom</v>
      </c>
      <c r="P23" s="12" t="b">
        <v>0</v>
      </c>
    </row>
    <row r="24" spans="1:16" x14ac:dyDescent="0.25">
      <c r="A24" s="12">
        <f>ZoomTree!$E$27</f>
        <v>276303227.43449765</v>
      </c>
      <c r="B24" s="11" t="s">
        <v>131</v>
      </c>
      <c r="C24" s="12">
        <v>0</v>
      </c>
      <c r="H24" s="12" t="s">
        <v>102</v>
      </c>
      <c r="I24" s="12" t="s">
        <v>102</v>
      </c>
      <c r="J24" s="12">
        <f>ZoomTree!$D$27</f>
        <v>276303227.43449765</v>
      </c>
      <c r="K24" s="12">
        <f>ZoomTree!$D$26</f>
        <v>0.65</v>
      </c>
      <c r="L24" s="12" t="s">
        <v>150</v>
      </c>
      <c r="M24" s="11" t="s">
        <v>103</v>
      </c>
      <c r="P24" s="12" t="b">
        <v>0</v>
      </c>
    </row>
    <row r="25" spans="1:16" x14ac:dyDescent="0.25">
      <c r="A25" s="12">
        <f>ZoomTree!$E$31</f>
        <v>84445584.878864914</v>
      </c>
      <c r="B25" s="11" t="s">
        <v>132</v>
      </c>
      <c r="C25" s="12">
        <v>0</v>
      </c>
      <c r="H25" s="12" t="s">
        <v>102</v>
      </c>
      <c r="I25" s="12" t="s">
        <v>102</v>
      </c>
      <c r="J25" s="12">
        <f>ZoomTree!$D$31</f>
        <v>84445584.878864914</v>
      </c>
      <c r="K25" s="12">
        <f>ZoomTree!$D$30</f>
        <v>0.35</v>
      </c>
      <c r="L25" s="12" t="s">
        <v>150</v>
      </c>
      <c r="M25" s="11" t="s">
        <v>103</v>
      </c>
      <c r="P25" s="12" t="b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F1DB3-489D-420B-9DF3-55BD1E69E50E}">
  <dimension ref="A1:P29"/>
  <sheetViews>
    <sheetView workbookViewId="0"/>
  </sheetViews>
  <sheetFormatPr defaultColWidth="15.7109375" defaultRowHeight="15" x14ac:dyDescent="0.25"/>
  <cols>
    <col min="1" max="16384" width="15.7109375" style="12"/>
  </cols>
  <sheetData>
    <row r="1" spans="1:16" x14ac:dyDescent="0.25">
      <c r="A1" s="12" t="s">
        <v>60</v>
      </c>
      <c r="B1" s="11" t="s">
        <v>105</v>
      </c>
      <c r="E1" s="12" t="s">
        <v>68</v>
      </c>
      <c r="F1" s="12">
        <v>3</v>
      </c>
      <c r="H1" s="12" t="s">
        <v>75</v>
      </c>
      <c r="I1" s="11" t="s">
        <v>101</v>
      </c>
      <c r="K1" s="12" t="s">
        <v>80</v>
      </c>
      <c r="L1" s="12">
        <v>100</v>
      </c>
    </row>
    <row r="2" spans="1:16" x14ac:dyDescent="0.25">
      <c r="A2" s="12" t="s">
        <v>61</v>
      </c>
      <c r="B2" s="12" t="e">
        <f>ZoomTree!#REF!</f>
        <v>#REF!</v>
      </c>
      <c r="E2" s="12" t="s">
        <v>70</v>
      </c>
      <c r="F2" s="12">
        <f>_xll.PTreeEvaluate5(B3,$L$11:$L$29,$J$11:$J$29,$K$11:$K$29,$N$11:$N$29,$G$11:$G$29,,L1)</f>
        <v>308737</v>
      </c>
    </row>
    <row r="3" spans="1:16" x14ac:dyDescent="0.25">
      <c r="A3" s="12" t="s">
        <v>62</v>
      </c>
      <c r="B3" s="12" t="s">
        <v>104</v>
      </c>
      <c r="E3" s="12" t="s">
        <v>71</v>
      </c>
      <c r="F3" s="11" t="s">
        <v>97</v>
      </c>
      <c r="H3" s="12" t="s">
        <v>76</v>
      </c>
      <c r="I3" s="13" t="s">
        <v>99</v>
      </c>
    </row>
    <row r="4" spans="1:16" x14ac:dyDescent="0.25">
      <c r="A4" s="12" t="s">
        <v>63</v>
      </c>
      <c r="B4" s="12" t="s">
        <v>96</v>
      </c>
      <c r="E4" s="12" t="s">
        <v>72</v>
      </c>
      <c r="F4" s="11" t="s">
        <v>98</v>
      </c>
      <c r="H4" s="12" t="s">
        <v>77</v>
      </c>
      <c r="I4" s="11" t="s">
        <v>100</v>
      </c>
    </row>
    <row r="5" spans="1:16" x14ac:dyDescent="0.25">
      <c r="A5" s="12" t="s">
        <v>64</v>
      </c>
      <c r="B5" s="12">
        <v>0</v>
      </c>
      <c r="E5" s="12" t="s">
        <v>73</v>
      </c>
      <c r="F5" s="11" t="s">
        <v>98</v>
      </c>
      <c r="H5" s="12" t="s">
        <v>78</v>
      </c>
      <c r="I5" s="13" t="s">
        <v>99</v>
      </c>
    </row>
    <row r="6" spans="1:16" x14ac:dyDescent="0.25">
      <c r="A6" s="12" t="s">
        <v>65</v>
      </c>
      <c r="E6" s="12" t="s">
        <v>74</v>
      </c>
      <c r="F6" s="11" t="s">
        <v>97</v>
      </c>
      <c r="H6" s="12" t="s">
        <v>79</v>
      </c>
      <c r="I6" s="11" t="s">
        <v>100</v>
      </c>
    </row>
    <row r="7" spans="1:16" x14ac:dyDescent="0.25">
      <c r="A7" s="12" t="s">
        <v>66</v>
      </c>
      <c r="E7" s="12" t="s">
        <v>69</v>
      </c>
      <c r="F7" s="11" t="s">
        <v>59</v>
      </c>
    </row>
    <row r="8" spans="1:16" x14ac:dyDescent="0.25">
      <c r="A8" s="12" t="s">
        <v>67</v>
      </c>
      <c r="B8" s="12">
        <v>19</v>
      </c>
    </row>
    <row r="10" spans="1:16" x14ac:dyDescent="0.25">
      <c r="A10" s="12" t="s">
        <v>81</v>
      </c>
      <c r="B10" s="12" t="s">
        <v>82</v>
      </c>
      <c r="C10" s="12" t="s">
        <v>83</v>
      </c>
      <c r="D10" s="12" t="s">
        <v>84</v>
      </c>
      <c r="E10" s="12" t="s">
        <v>85</v>
      </c>
      <c r="F10" s="12" t="s">
        <v>86</v>
      </c>
      <c r="G10" s="12" t="s">
        <v>87</v>
      </c>
      <c r="H10" s="12" t="s">
        <v>88</v>
      </c>
      <c r="I10" s="12" t="s">
        <v>89</v>
      </c>
      <c r="J10" s="12" t="s">
        <v>90</v>
      </c>
      <c r="K10" s="12" t="s">
        <v>91</v>
      </c>
      <c r="L10" s="12" t="s">
        <v>62</v>
      </c>
      <c r="M10" s="12" t="s">
        <v>92</v>
      </c>
      <c r="N10" s="12" t="s">
        <v>93</v>
      </c>
      <c r="O10" s="12" t="s">
        <v>94</v>
      </c>
      <c r="P10" s="12" t="s">
        <v>95</v>
      </c>
    </row>
    <row r="11" spans="1:16" x14ac:dyDescent="0.25">
      <c r="A11" s="12">
        <f>ZoomTree!$B$97</f>
        <v>75178266.343077555</v>
      </c>
      <c r="B11" s="12" t="str">
        <f>B1</f>
        <v>Sell Zoom?</v>
      </c>
      <c r="C11" s="12">
        <v>0</v>
      </c>
      <c r="I11" s="12" t="s">
        <v>102</v>
      </c>
      <c r="J11" s="12">
        <f>ZoomTree!$A$97</f>
        <v>0</v>
      </c>
      <c r="K11" s="12">
        <f>ZoomTree!$A$96</f>
        <v>0</v>
      </c>
      <c r="L11" s="12" t="s">
        <v>107</v>
      </c>
      <c r="M11" s="11" t="s">
        <v>103</v>
      </c>
      <c r="O11" s="12" t="str">
        <f>ZoomTree!$B$96</f>
        <v>SellNow?</v>
      </c>
      <c r="P11" s="12" t="b">
        <v>0</v>
      </c>
    </row>
    <row r="12" spans="1:16" x14ac:dyDescent="0.25">
      <c r="A12" s="12">
        <f>ZoomTree!$C$81</f>
        <v>75178266.343077555</v>
      </c>
      <c r="B12" s="11" t="s">
        <v>108</v>
      </c>
      <c r="C12" s="12">
        <v>0</v>
      </c>
      <c r="I12" s="12" t="s">
        <v>102</v>
      </c>
      <c r="J12" s="12">
        <f>ZoomTree!$B$81</f>
        <v>0</v>
      </c>
      <c r="L12" s="12" t="s">
        <v>111</v>
      </c>
      <c r="M12" s="11" t="s">
        <v>103</v>
      </c>
      <c r="O12" s="12" t="str">
        <f>ZoomTree!$C$80</f>
        <v>RivalQuality</v>
      </c>
      <c r="P12" s="12" t="b">
        <v>0</v>
      </c>
    </row>
    <row r="13" spans="1:16" x14ac:dyDescent="0.25">
      <c r="A13" s="12">
        <f>ZoomTree!$C$101</f>
        <v>72389250</v>
      </c>
      <c r="B13" s="11" t="s">
        <v>109</v>
      </c>
      <c r="C13" s="12">
        <v>0</v>
      </c>
      <c r="I13" s="12" t="s">
        <v>102</v>
      </c>
      <c r="J13" s="25">
        <f>ZoomTree!$B$101</f>
        <v>0</v>
      </c>
      <c r="L13" s="12" t="s">
        <v>121</v>
      </c>
      <c r="M13" s="11" t="s">
        <v>103</v>
      </c>
      <c r="O13" s="12" t="str">
        <f>ZoomTree!$C$100</f>
        <v>Acq Price</v>
      </c>
      <c r="P13" s="12" t="b">
        <v>0</v>
      </c>
    </row>
    <row r="14" spans="1:16" x14ac:dyDescent="0.25">
      <c r="A14" s="12">
        <f>ZoomTree!$D$73</f>
        <v>11518908.187823905</v>
      </c>
      <c r="B14" s="11" t="s">
        <v>112</v>
      </c>
      <c r="C14" s="12">
        <v>0</v>
      </c>
      <c r="I14" s="12" t="s">
        <v>102</v>
      </c>
      <c r="J14" s="12">
        <f>ZoomTree!$C$73</f>
        <v>0</v>
      </c>
      <c r="K14" s="12">
        <f>ZoomTree!$C$72</f>
        <v>0.3</v>
      </c>
      <c r="L14" s="12" t="s">
        <v>114</v>
      </c>
      <c r="M14" s="11" t="s">
        <v>103</v>
      </c>
      <c r="O14" s="12" t="str">
        <f>ZoomTree!$D$72</f>
        <v>PriceWar</v>
      </c>
      <c r="P14" s="12" t="b">
        <v>0</v>
      </c>
    </row>
    <row r="15" spans="1:16" x14ac:dyDescent="0.25">
      <c r="A15" s="12">
        <f>ZoomTree!$D$89</f>
        <v>102460848.40961485</v>
      </c>
      <c r="B15" s="11" t="s">
        <v>113</v>
      </c>
      <c r="C15" s="12">
        <v>0</v>
      </c>
      <c r="I15" s="12" t="s">
        <v>102</v>
      </c>
      <c r="J15" s="12">
        <f>ZoomTree!$C$89</f>
        <v>0</v>
      </c>
      <c r="K15" s="12">
        <f>ZoomTree!$C$88</f>
        <v>0.7</v>
      </c>
      <c r="L15" s="12" t="s">
        <v>118</v>
      </c>
      <c r="M15" s="11" t="s">
        <v>103</v>
      </c>
      <c r="O15" s="12" t="str">
        <f>ZoomTree!$D$88</f>
        <v>PriceWar</v>
      </c>
      <c r="P15" s="12" t="b">
        <v>0</v>
      </c>
    </row>
    <row r="16" spans="1:16" x14ac:dyDescent="0.25">
      <c r="A16" s="12">
        <f>ZoomTree!$E$69</f>
        <v>10855554.371917358</v>
      </c>
      <c r="B16" s="11" t="s">
        <v>116</v>
      </c>
      <c r="C16" s="12">
        <v>0</v>
      </c>
      <c r="I16" s="12" t="s">
        <v>102</v>
      </c>
      <c r="J16" s="12">
        <f>ZoomTree!$D$69</f>
        <v>0</v>
      </c>
      <c r="K16" s="12">
        <f>ZoomTree!$D$68</f>
        <v>0.55000000000000004</v>
      </c>
      <c r="L16" s="12" t="s">
        <v>130</v>
      </c>
      <c r="M16" s="11" t="s">
        <v>103</v>
      </c>
      <c r="O16" s="12" t="str">
        <f>ZoomTree!$E$68</f>
        <v>Zoom</v>
      </c>
      <c r="P16" s="12" t="b">
        <v>0</v>
      </c>
    </row>
    <row r="17" spans="1:16" x14ac:dyDescent="0.25">
      <c r="A17" s="12">
        <f>ZoomTree!$E$77</f>
        <v>12329673.962820796</v>
      </c>
      <c r="B17" s="11" t="s">
        <v>117</v>
      </c>
      <c r="C17" s="12">
        <v>0</v>
      </c>
      <c r="I17" s="12" t="s">
        <v>102</v>
      </c>
      <c r="J17" s="12">
        <f>ZoomTree!$D$77</f>
        <v>0</v>
      </c>
      <c r="K17" s="12">
        <f>ZoomTree!$D$76</f>
        <v>0.44999999999999996</v>
      </c>
      <c r="L17" s="12" t="s">
        <v>133</v>
      </c>
      <c r="M17" s="11" t="s">
        <v>103</v>
      </c>
      <c r="O17" s="12" t="str">
        <f>ZoomTree!$E$76</f>
        <v>Zoom</v>
      </c>
      <c r="P17" s="12" t="b">
        <v>0</v>
      </c>
    </row>
    <row r="18" spans="1:16" x14ac:dyDescent="0.25">
      <c r="A18" s="12">
        <f>ZoomTree!$E$85</f>
        <v>15167226.848369218</v>
      </c>
      <c r="B18" s="11" t="s">
        <v>116</v>
      </c>
      <c r="C18" s="12">
        <v>0</v>
      </c>
      <c r="I18" s="12" t="s">
        <v>102</v>
      </c>
      <c r="J18" s="12">
        <f>ZoomTree!$D$85</f>
        <v>0</v>
      </c>
      <c r="K18" s="12">
        <f>ZoomTree!$D$84</f>
        <v>0.55000000000000004</v>
      </c>
      <c r="L18" s="12" t="s">
        <v>135</v>
      </c>
      <c r="M18" s="11" t="s">
        <v>103</v>
      </c>
      <c r="O18" s="12" t="str">
        <f>ZoomTree!$E$84</f>
        <v>Zoom</v>
      </c>
      <c r="P18" s="12" t="b">
        <v>0</v>
      </c>
    </row>
    <row r="19" spans="1:16" x14ac:dyDescent="0.25">
      <c r="A19" s="12">
        <f>ZoomTree!$E$93</f>
        <v>209153052.54002619</v>
      </c>
      <c r="B19" s="11" t="s">
        <v>117</v>
      </c>
      <c r="C19" s="12">
        <v>0</v>
      </c>
      <c r="I19" s="12" t="s">
        <v>102</v>
      </c>
      <c r="J19" s="12">
        <f>ZoomTree!$D$93</f>
        <v>0</v>
      </c>
      <c r="K19" s="12">
        <f>ZoomTree!$D$92</f>
        <v>0.44999999999999996</v>
      </c>
      <c r="L19" s="12" t="s">
        <v>137</v>
      </c>
      <c r="M19" s="11" t="s">
        <v>103</v>
      </c>
      <c r="O19" s="12" t="str">
        <f>ZoomTree!$E$92</f>
        <v>Zoom</v>
      </c>
      <c r="P19" s="12" t="b">
        <v>0</v>
      </c>
    </row>
    <row r="20" spans="1:16" x14ac:dyDescent="0.25">
      <c r="A20" s="12">
        <f>ZoomTree!$D$99</f>
        <v>91005000</v>
      </c>
      <c r="B20" s="11" t="s">
        <v>112</v>
      </c>
      <c r="C20" s="12">
        <v>0</v>
      </c>
      <c r="H20" s="12" t="s">
        <v>102</v>
      </c>
      <c r="I20" s="12" t="s">
        <v>102</v>
      </c>
      <c r="J20" s="12">
        <f>ZoomTree!$C$99</f>
        <v>91005000</v>
      </c>
      <c r="K20" s="12">
        <f>ZoomTree!$C$98</f>
        <v>0.4</v>
      </c>
      <c r="L20" s="12" t="s">
        <v>120</v>
      </c>
      <c r="M20" s="11" t="s">
        <v>103</v>
      </c>
      <c r="P20" s="12" t="b">
        <v>0</v>
      </c>
    </row>
    <row r="21" spans="1:16" x14ac:dyDescent="0.25">
      <c r="A21" s="12">
        <f>ZoomTree!$D$103</f>
        <v>59978750</v>
      </c>
      <c r="B21" s="11" t="s">
        <v>113</v>
      </c>
      <c r="C21" s="12">
        <v>0</v>
      </c>
      <c r="H21" s="12" t="s">
        <v>102</v>
      </c>
      <c r="I21" s="12" t="s">
        <v>102</v>
      </c>
      <c r="J21" s="12">
        <f>ZoomTree!$C$103</f>
        <v>59978750</v>
      </c>
      <c r="K21" s="12">
        <f>ZoomTree!$C$102</f>
        <v>0.6</v>
      </c>
      <c r="L21" s="12" t="s">
        <v>120</v>
      </c>
      <c r="M21" s="11" t="s">
        <v>103</v>
      </c>
      <c r="P21" s="12" t="b">
        <v>0</v>
      </c>
    </row>
    <row r="22" spans="1:16" x14ac:dyDescent="0.25">
      <c r="A22" s="12">
        <f>ZoomTree!$F$67</f>
        <v>15297342.800369034</v>
      </c>
      <c r="B22" s="11" t="s">
        <v>131</v>
      </c>
      <c r="C22" s="12">
        <v>0</v>
      </c>
      <c r="H22" s="12" t="s">
        <v>102</v>
      </c>
      <c r="I22" s="12" t="s">
        <v>102</v>
      </c>
      <c r="J22" s="12">
        <f>ZoomTree!$E$67</f>
        <v>15297342.800369034</v>
      </c>
      <c r="K22" s="12">
        <f>ZoomTree!$E$66</f>
        <v>0.65</v>
      </c>
      <c r="L22" s="12" t="s">
        <v>129</v>
      </c>
      <c r="M22" s="11" t="s">
        <v>103</v>
      </c>
      <c r="P22" s="12" t="b">
        <v>0</v>
      </c>
    </row>
    <row r="23" spans="1:16" x14ac:dyDescent="0.25">
      <c r="A23" s="12">
        <f>ZoomTree!$F$71</f>
        <v>2606518.719078532</v>
      </c>
      <c r="B23" s="11" t="s">
        <v>132</v>
      </c>
      <c r="C23" s="12">
        <v>0</v>
      </c>
      <c r="H23" s="12" t="s">
        <v>102</v>
      </c>
      <c r="I23" s="12" t="s">
        <v>102</v>
      </c>
      <c r="J23" s="12">
        <f>ZoomTree!$E$71</f>
        <v>2606518.719078532</v>
      </c>
      <c r="K23" s="12">
        <f>ZoomTree!$E$70</f>
        <v>0.35</v>
      </c>
      <c r="L23" s="12" t="s">
        <v>129</v>
      </c>
      <c r="M23" s="11" t="s">
        <v>103</v>
      </c>
      <c r="P23" s="12" t="b">
        <v>0</v>
      </c>
    </row>
    <row r="24" spans="1:16" x14ac:dyDescent="0.25">
      <c r="A24" s="12">
        <f>ZoomTree!$F$75</f>
        <v>14435060.111334557</v>
      </c>
      <c r="B24" s="11" t="s">
        <v>131</v>
      </c>
      <c r="C24" s="12">
        <v>0</v>
      </c>
      <c r="H24" s="12" t="s">
        <v>102</v>
      </c>
      <c r="I24" s="12" t="s">
        <v>102</v>
      </c>
      <c r="J24" s="12">
        <f>ZoomTree!$E$75</f>
        <v>14435060.111334557</v>
      </c>
      <c r="K24" s="12">
        <f>ZoomTree!$E$74</f>
        <v>0.65</v>
      </c>
      <c r="L24" s="12" t="s">
        <v>134</v>
      </c>
      <c r="M24" s="11" t="s">
        <v>103</v>
      </c>
      <c r="P24" s="12" t="b">
        <v>0</v>
      </c>
    </row>
    <row r="25" spans="1:16" x14ac:dyDescent="0.25">
      <c r="A25" s="12">
        <f>ZoomTree!$F$79</f>
        <v>8419671.1155809592</v>
      </c>
      <c r="B25" s="11" t="s">
        <v>132</v>
      </c>
      <c r="C25" s="12">
        <v>0</v>
      </c>
      <c r="H25" s="12" t="s">
        <v>102</v>
      </c>
      <c r="I25" s="12" t="s">
        <v>102</v>
      </c>
      <c r="J25" s="12">
        <f>ZoomTree!$E$79</f>
        <v>8419671.1155809592</v>
      </c>
      <c r="K25" s="12">
        <f>ZoomTree!$E$78</f>
        <v>0.35</v>
      </c>
      <c r="L25" s="12" t="s">
        <v>134</v>
      </c>
      <c r="M25" s="11" t="s">
        <v>103</v>
      </c>
      <c r="P25" s="12" t="b">
        <v>0</v>
      </c>
    </row>
    <row r="26" spans="1:16" x14ac:dyDescent="0.25">
      <c r="A26" s="12">
        <f>ZoomTree!$F$83</f>
        <v>19750426.353804711</v>
      </c>
      <c r="B26" s="11" t="s">
        <v>131</v>
      </c>
      <c r="C26" s="12">
        <v>0</v>
      </c>
      <c r="H26" s="12" t="s">
        <v>102</v>
      </c>
      <c r="I26" s="12" t="s">
        <v>102</v>
      </c>
      <c r="J26" s="12">
        <f>ZoomTree!$E$83</f>
        <v>19750426.353804711</v>
      </c>
      <c r="K26" s="12">
        <f>ZoomTree!$E$82</f>
        <v>0.65</v>
      </c>
      <c r="L26" s="12" t="s">
        <v>136</v>
      </c>
      <c r="M26" s="11" t="s">
        <v>103</v>
      </c>
      <c r="P26" s="12" t="b">
        <v>0</v>
      </c>
    </row>
    <row r="27" spans="1:16" x14ac:dyDescent="0.25">
      <c r="A27" s="12">
        <f>ZoomTree!$F$87</f>
        <v>6655570.6239890121</v>
      </c>
      <c r="B27" s="11" t="s">
        <v>132</v>
      </c>
      <c r="C27" s="12">
        <v>0</v>
      </c>
      <c r="H27" s="12" t="s">
        <v>102</v>
      </c>
      <c r="I27" s="12" t="s">
        <v>102</v>
      </c>
      <c r="J27" s="12">
        <f>ZoomTree!$E$87</f>
        <v>6655570.6239890121</v>
      </c>
      <c r="K27" s="12">
        <f>ZoomTree!$E$86</f>
        <v>0.35</v>
      </c>
      <c r="L27" s="12" t="s">
        <v>136</v>
      </c>
      <c r="M27" s="11" t="s">
        <v>103</v>
      </c>
      <c r="P27" s="12" t="b">
        <v>0</v>
      </c>
    </row>
    <row r="28" spans="1:16" x14ac:dyDescent="0.25">
      <c r="A28" s="12">
        <f>ZoomTree!$F$91</f>
        <v>276303227.43449765</v>
      </c>
      <c r="B28" s="11" t="s">
        <v>131</v>
      </c>
      <c r="C28" s="12">
        <v>0</v>
      </c>
      <c r="H28" s="12" t="s">
        <v>102</v>
      </c>
      <c r="I28" s="12" t="s">
        <v>102</v>
      </c>
      <c r="J28" s="12">
        <f>ZoomTree!$E$91</f>
        <v>276303227.43449765</v>
      </c>
      <c r="K28" s="12">
        <f>ZoomTree!$E$90</f>
        <v>0.65</v>
      </c>
      <c r="L28" s="12" t="s">
        <v>138</v>
      </c>
      <c r="M28" s="11" t="s">
        <v>103</v>
      </c>
      <c r="P28" s="12" t="b">
        <v>0</v>
      </c>
    </row>
    <row r="29" spans="1:16" x14ac:dyDescent="0.25">
      <c r="A29" s="12">
        <f>ZoomTree!$F$95</f>
        <v>84445584.878864914</v>
      </c>
      <c r="B29" s="11" t="s">
        <v>132</v>
      </c>
      <c r="C29" s="12">
        <v>0</v>
      </c>
      <c r="H29" s="12" t="s">
        <v>102</v>
      </c>
      <c r="I29" s="12" t="s">
        <v>102</v>
      </c>
      <c r="J29" s="12">
        <f>ZoomTree!$E$95</f>
        <v>84445584.878864914</v>
      </c>
      <c r="K29" s="12">
        <f>ZoomTree!$E$94</f>
        <v>0.35</v>
      </c>
      <c r="L29" s="12" t="s">
        <v>138</v>
      </c>
      <c r="M29" s="11" t="s">
        <v>103</v>
      </c>
      <c r="P29" s="1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ZoomScenarios</vt:lpstr>
      <vt:lpstr>ZoomFinancials</vt:lpstr>
      <vt:lpstr>ZoomTree</vt:lpstr>
      <vt:lpstr>Sensitivity</vt:lpstr>
      <vt:lpstr>SandBox</vt:lpstr>
      <vt:lpstr>treeCalc_3</vt:lpstr>
      <vt:lpstr>treeCalc_2</vt:lpstr>
      <vt:lpstr>treeCalc_1</vt:lpstr>
    </vt:vector>
  </TitlesOfParts>
  <Company>Wisconsin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 Coff</dc:creator>
  <cp:lastModifiedBy>Russ Coff</cp:lastModifiedBy>
  <dcterms:created xsi:type="dcterms:W3CDTF">2018-07-20T18:11:36Z</dcterms:created>
  <dcterms:modified xsi:type="dcterms:W3CDTF">2020-08-19T13:21:26Z</dcterms:modified>
</cp:coreProperties>
</file>